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9752" windowHeight="11196" tabRatio="965" activeTab="1"/>
  </bookViews>
  <sheets>
    <sheet name="Enter Values" sheetId="1" r:id="rId1"/>
    <sheet name="Graphical Report" sheetId="2" r:id="rId2"/>
    <sheet name="Gamblegram" sheetId="3" r:id="rId3"/>
    <sheet name="Regression" sheetId="4" r:id="rId4"/>
    <sheet name="Calculation (2)" sheetId="5" r:id="rId5"/>
  </sheets>
  <definedNames>
    <definedName name="_xlnm.Print_Area" localSheetId="1">'Graphical Report'!$A$1:$K$38</definedName>
  </definedNames>
  <calcPr fullCalcOnLoad="1"/>
</workbook>
</file>

<file path=xl/sharedStrings.xml><?xml version="1.0" encoding="utf-8"?>
<sst xmlns="http://schemas.openxmlformats.org/spreadsheetml/2006/main" count="417" uniqueCount="245">
  <si>
    <t>S  mixed venous</t>
  </si>
  <si>
    <t>x0 mixed venous</t>
  </si>
  <si>
    <t>Qs/Qt (exact, both art and mixed venous samples taken)</t>
  </si>
  <si>
    <t>Barometric pressure (kPa)</t>
  </si>
  <si>
    <t>Qs/Qt (corrected for mean and bias in c(a-v) O2 diff)</t>
  </si>
  <si>
    <t>(Hb</t>
  </si>
  <si>
    <t>Hb</t>
  </si>
  <si>
    <t>Base XS | Anion Gap</t>
  </si>
  <si>
    <t>Qs/Qt</t>
  </si>
  <si>
    <t>Qs/Qt (exact, both art and mixed venous samples taken) T=39</t>
  </si>
  <si>
    <t>x0 alveolar</t>
  </si>
  <si>
    <t>x0 arterial</t>
  </si>
  <si>
    <t>Na measured?</t>
  </si>
  <si>
    <t>K measured?</t>
  </si>
  <si>
    <t>Protein WAA charge</t>
  </si>
  <si>
    <t>pH</t>
  </si>
  <si>
    <t>Date</t>
  </si>
  <si>
    <t>Time</t>
  </si>
  <si>
    <t>PCO2 (kPa)</t>
  </si>
  <si>
    <t>IF ART + MIXED OR CENTRAL VENOUS THEN TRUE, ELSE ESTIMATED SHUNT</t>
  </si>
  <si>
    <t>Central venous</t>
  </si>
  <si>
    <t>Qs/Qt (exact, both art and mixed/central venous samples taken) T=41</t>
  </si>
  <si>
    <t>Temperature specified and arterial specimen</t>
  </si>
  <si>
    <t>Lactate</t>
  </si>
  <si>
    <t>Sulphate</t>
  </si>
  <si>
    <t>Total [Ca2+] (mmol/L)</t>
  </si>
  <si>
    <t>Average</t>
  </si>
  <si>
    <t>Data from Figge et al, J Lab Clin Med 1991;117:453-67</t>
  </si>
  <si>
    <t>Rel. diff.</t>
  </si>
  <si>
    <t>[K+] (mmol/L)</t>
  </si>
  <si>
    <t>[Ca2+] (mmol/L)</t>
  </si>
  <si>
    <t>The minimum data required for quantitative analysis is Na, K, Cl, pH and PCO2</t>
  </si>
  <si>
    <t>Base XS (mmol/L)</t>
  </si>
  <si>
    <t>Oxygen Therapy (%)</t>
  </si>
  <si>
    <t>Sample PO2 (mmHg)</t>
  </si>
  <si>
    <t>Sample PO2 (kPa)</t>
  </si>
  <si>
    <t>Sample PO2</t>
  </si>
  <si>
    <t>N.B. NOT IONIZED OR CORRECTED!</t>
  </si>
  <si>
    <t>Solubility coefficient O2 (temp corrected)</t>
  </si>
  <si>
    <t>[phosphate] measured?</t>
  </si>
  <si>
    <t>Full Atot data?</t>
  </si>
  <si>
    <t>Na</t>
  </si>
  <si>
    <t>K, Ca, Mg</t>
  </si>
  <si>
    <t>Cations</t>
  </si>
  <si>
    <t>Anions</t>
  </si>
  <si>
    <t>Bicarbonate</t>
  </si>
  <si>
    <t>Unmeasured Cations</t>
  </si>
  <si>
    <t>Working (Default) Values</t>
  </si>
  <si>
    <t>Some protein Atot data?</t>
  </si>
  <si>
    <t>Scenario - mandatory data</t>
  </si>
  <si>
    <t>Scenario - weak acid data</t>
  </si>
  <si>
    <t>K'1 bicarbonate (mol/L)</t>
  </si>
  <si>
    <t>[Urea]</t>
  </si>
  <si>
    <t>[Creatinine]</t>
  </si>
  <si>
    <t>Uric Acid / Urate</t>
  </si>
  <si>
    <t>(Urea</t>
  </si>
  <si>
    <t>(Creatinine</t>
  </si>
  <si>
    <t>Ionic Strength (mEq/L)</t>
  </si>
  <si>
    <t>Ka phosphate (nmol/L)</t>
  </si>
  <si>
    <t>W[Phosphate-] (mmol/L)</t>
  </si>
  <si>
    <t>W[Lactate-] (mmol/L)</t>
  </si>
  <si>
    <t>PiO2</t>
  </si>
  <si>
    <t>A-a gradient</t>
  </si>
  <si>
    <t>A-a gradient*</t>
  </si>
  <si>
    <t>Unmeasured Anions</t>
  </si>
  <si>
    <t xml:space="preserve">CASE </t>
  </si>
  <si>
    <t>CASE</t>
  </si>
  <si>
    <t>PCO2 bias</t>
  </si>
  <si>
    <t>Measured [SID+] bias</t>
  </si>
  <si>
    <t>Measured Acidity (N arterial = 38-42)</t>
  </si>
  <si>
    <t>O2 THERAPY</t>
  </si>
  <si>
    <t>N.B. NOT UREA!</t>
  </si>
  <si>
    <t>Predicted acidity assuming no unmeasured ions</t>
  </si>
  <si>
    <t>Anion Gap</t>
  </si>
  <si>
    <t>REPORT</t>
  </si>
  <si>
    <t>Prot, Phos, Urate WAA</t>
  </si>
  <si>
    <t>NB A mean bias of -5.4% corresponds to a mean pH error of +0.02 units</t>
  </si>
  <si>
    <t>Measured aH+ (nmol/L)</t>
  </si>
  <si>
    <t>SID + NUI</t>
  </si>
  <si>
    <t>Temperature specified</t>
  </si>
  <si>
    <t>Mixed venous oxygen content calculation</t>
  </si>
  <si>
    <t>n0 mixed venous</t>
  </si>
  <si>
    <t>h  mixed venous</t>
  </si>
  <si>
    <t>a  mixed venous</t>
  </si>
  <si>
    <t>b  mixed venous</t>
  </si>
  <si>
    <t>x  mixed venous</t>
  </si>
  <si>
    <t>y  mixed venous</t>
  </si>
  <si>
    <t>Upper</t>
  </si>
  <si>
    <t>A-a gradient formatted</t>
  </si>
  <si>
    <t>Please send bug reports/</t>
  </si>
  <si>
    <t>[Hb] (g/L)</t>
  </si>
  <si>
    <t>ccO2</t>
  </si>
  <si>
    <t>caO2</t>
  </si>
  <si>
    <t>cvO2</t>
  </si>
  <si>
    <t xml:space="preserve">  Date</t>
  </si>
  <si>
    <t xml:space="preserve">  Time</t>
  </si>
  <si>
    <t>Qs/Qt (exact, both art and mixed venous samples taken) T=35</t>
  </si>
  <si>
    <t>Qs/Qt (exact, both art and mixed venous samples taken) T=37</t>
  </si>
  <si>
    <t>Miminum data?</t>
  </si>
  <si>
    <t>[albumin] measured?</t>
  </si>
  <si>
    <t>[T protein] measured?</t>
  </si>
  <si>
    <t>Arterial</t>
  </si>
  <si>
    <t>Shunt at patient's temperature</t>
  </si>
  <si>
    <t>Shunt @ 35</t>
  </si>
  <si>
    <t>Shunt @ 37</t>
  </si>
  <si>
    <t>Shunt @ 39</t>
  </si>
  <si>
    <t>Shunt @ 41</t>
  </si>
  <si>
    <t>(Glucose</t>
  </si>
  <si>
    <t>(Troponin I</t>
  </si>
  <si>
    <t>Prot SI</t>
  </si>
  <si>
    <t>Glucose</t>
  </si>
  <si>
    <t>Troponin I</t>
  </si>
  <si>
    <t>Phosphate</t>
  </si>
  <si>
    <t>PCO2</t>
  </si>
  <si>
    <t>[Albumin] (g/L)</t>
  </si>
  <si>
    <t>[Phosphate-] (mmol/L)</t>
  </si>
  <si>
    <t>PCO2 (mmHg)</t>
  </si>
  <si>
    <t>S</t>
  </si>
  <si>
    <t>Atot</t>
  </si>
  <si>
    <t>[Lactate-] (mmol/L)</t>
  </si>
  <si>
    <t>pKa</t>
  </si>
  <si>
    <t>[Sulphate2-] (mmol/L)</t>
  </si>
  <si>
    <t>Sample Type (Arterial or Venous)</t>
  </si>
  <si>
    <t>Blood gas</t>
  </si>
  <si>
    <t>W[Sulphate2-] (mmol/L)</t>
  </si>
  <si>
    <t>[Urate-] (mmol/L)</t>
  </si>
  <si>
    <t>W[Urate-] (mmol/L)</t>
  </si>
  <si>
    <t>Strong ions</t>
  </si>
  <si>
    <t>Constants</t>
  </si>
  <si>
    <t>[urate] measured?</t>
  </si>
  <si>
    <t>Ka urate (nmol/L)</t>
  </si>
  <si>
    <t>Scenario (1=both, 2=alb only, 3=tp only, 4=neither)</t>
  </si>
  <si>
    <t>SID</t>
  </si>
  <si>
    <t>Altitude (metres)</t>
  </si>
  <si>
    <t>O2 THERAPY (percent)</t>
  </si>
  <si>
    <t>PaO2</t>
  </si>
  <si>
    <t xml:space="preserve">  Case</t>
  </si>
  <si>
    <t>Qs/Qt (noninvasive, percent)</t>
  </si>
  <si>
    <t>Qs/Qt (estimated invasive)</t>
  </si>
  <si>
    <t>c(c-a)O2 difference</t>
  </si>
  <si>
    <t>c(c-mixed venous) O2 difference</t>
  </si>
  <si>
    <t>c(c-mixed venous)O2 corrected</t>
  </si>
  <si>
    <t>The more information given to the calculator, the more accurate will be its results</t>
  </si>
  <si>
    <t>and thereafter the completeness of the tests required depends on the clinical situation.</t>
  </si>
  <si>
    <t>NUI</t>
  </si>
  <si>
    <t>NUI Report</t>
  </si>
  <si>
    <t>Net Unmeasured Ions (NUI)</t>
  </si>
  <si>
    <t>W[Ca2+] (mmol/L)</t>
  </si>
  <si>
    <t>W[Mg2+] (mmol/L)</t>
  </si>
  <si>
    <t>W[Albumin] (g/L)</t>
  </si>
  <si>
    <t>W[Total Protein] (g/L)</t>
  </si>
  <si>
    <t>Ka proteins (nmol/L)</t>
  </si>
  <si>
    <t>Chloride</t>
  </si>
  <si>
    <t xml:space="preserve">Prot, Phos, Sulph SI </t>
  </si>
  <si>
    <t>Protein Strong Ion Charge</t>
  </si>
  <si>
    <t>Ka proteins (mol/L)</t>
  </si>
  <si>
    <t>Bias Calculations</t>
  </si>
  <si>
    <t>Reports</t>
  </si>
  <si>
    <t>Specimen type</t>
  </si>
  <si>
    <t>Acidity Report</t>
  </si>
  <si>
    <t>SI Ac/Alk Report</t>
  </si>
  <si>
    <t>WA Ac/Alk Report</t>
  </si>
  <si>
    <t>Resp Ac/Alk Report</t>
  </si>
  <si>
    <t>Albumin Predicted Acidity</t>
  </si>
  <si>
    <t>[Mg2+] (mmol/L)</t>
  </si>
  <si>
    <t>[Cl-] (mmol/L)</t>
  </si>
  <si>
    <t>[Total Protein] (g/L)</t>
  </si>
  <si>
    <t>Absolute Difference</t>
  </si>
  <si>
    <t>Mean</t>
  </si>
  <si>
    <t>HCO3-</t>
  </si>
  <si>
    <t>Albumin</t>
  </si>
  <si>
    <t>Globulin</t>
  </si>
  <si>
    <t>Total Protein</t>
  </si>
  <si>
    <t>feature requests to</t>
  </si>
  <si>
    <t>peterlloyd@orcon.net.nz</t>
  </si>
  <si>
    <t>Phosphate WAA charge</t>
  </si>
  <si>
    <t>Urate WAA charge</t>
  </si>
  <si>
    <t xml:space="preserve">It is recommended you get a complete set of test results on admission of the patient, </t>
  </si>
  <si>
    <t>Cl measured</t>
  </si>
  <si>
    <t>pH measured?</t>
  </si>
  <si>
    <t>PCO2 measured?</t>
  </si>
  <si>
    <t>Sample PO2 formatted</t>
  </si>
  <si>
    <t>Altitude</t>
  </si>
  <si>
    <t>Barometric Pressure</t>
  </si>
  <si>
    <t>Altitude (feet)</t>
  </si>
  <si>
    <t>[HCO3-] (mmol/L)</t>
  </si>
  <si>
    <t>Weak acids</t>
  </si>
  <si>
    <t>Calculation</t>
  </si>
  <si>
    <t>NB Some ions exhibit markedly non-ideal behaviour when in dilute solution (as the concentration increases this non-ideal behaviour disappears). Ionic strength must be used instead of concentration for calcium, magnesium, sulphate and monohydrogen phosphate. The ionic strength is 3mEq/mmol for these four ions, (not 2mEq/mmol). The monovalent ions have an ionic strength of +1 or -1 mEq per mmol.</t>
  </si>
  <si>
    <t>[Glucose]</t>
  </si>
  <si>
    <t>[Troponin I]</t>
  </si>
  <si>
    <t>[Na+] (mmol/L)</t>
  </si>
  <si>
    <t>Protein SI</t>
  </si>
  <si>
    <t>Phosphate SI</t>
  </si>
  <si>
    <t>Strong Ion</t>
  </si>
  <si>
    <t>K</t>
  </si>
  <si>
    <t>Ca</t>
  </si>
  <si>
    <t>Mg</t>
  </si>
  <si>
    <t>Cl</t>
  </si>
  <si>
    <t>Severinghaus' HbO2 dissociation curve</t>
  </si>
  <si>
    <t>y0</t>
  </si>
  <si>
    <t>x0</t>
  </si>
  <si>
    <t>k</t>
  </si>
  <si>
    <t>x alveolar</t>
  </si>
  <si>
    <t>x arterial</t>
  </si>
  <si>
    <t>S arterial</t>
  </si>
  <si>
    <t>S alveolar = end-capillary Hb saturation</t>
  </si>
  <si>
    <t>n0 alveolar</t>
  </si>
  <si>
    <t>h alveolar</t>
  </si>
  <si>
    <t>a alveolar</t>
  </si>
  <si>
    <t>b alveolar</t>
  </si>
  <si>
    <t>y alveolar</t>
  </si>
  <si>
    <t>n0 arterial</t>
  </si>
  <si>
    <t>a arterial</t>
  </si>
  <si>
    <t>b arterial</t>
  </si>
  <si>
    <t>y arterial</t>
  </si>
  <si>
    <t>h arterial</t>
  </si>
  <si>
    <t>T = 35</t>
  </si>
  <si>
    <t>T=37</t>
  </si>
  <si>
    <t>T=39</t>
  </si>
  <si>
    <t>T=41</t>
  </si>
  <si>
    <t>Temperature = 41</t>
  </si>
  <si>
    <t>Temperature = 39</t>
  </si>
  <si>
    <t>Temperature = 37</t>
  </si>
  <si>
    <t>Temperature = 35</t>
  </si>
  <si>
    <t>Siggaard-Andersen et al's HbO2 dissociation curve</t>
  </si>
  <si>
    <t>Siggaard-Andersen et al, Clinical Chemistry 1984;30(10):1646-51</t>
  </si>
  <si>
    <t>PAO2 (alveolar)</t>
  </si>
  <si>
    <t>Temperature (ºC)</t>
  </si>
  <si>
    <t>Temperature ºC</t>
  </si>
  <si>
    <t>Temperature</t>
  </si>
  <si>
    <t>Temperature (ºF)</t>
  </si>
  <si>
    <t>[Hb]</t>
  </si>
  <si>
    <t>NB2 Factors outside their normal range are colour coded according to the direction in which they are biasing the acidity- red for more acidic, yellow for less acidic. Because urea, creatinine, PO2 and Qs/Qt do not directly influence acidity but abnormalities in these factors usually are associated with acidosis and acidaemia, when abnormal they are printed in red italics.</t>
  </si>
  <si>
    <t>aH+</t>
  </si>
  <si>
    <t>SID bias</t>
  </si>
  <si>
    <t>[Uric acid] / [Urate-] (mmol/L)</t>
  </si>
  <si>
    <t>Albumin Measured aH+ (nmol/L)</t>
  </si>
  <si>
    <t>Atot bias</t>
  </si>
  <si>
    <t>SD</t>
  </si>
  <si>
    <t>Measured aH+ (mol/L)</t>
  </si>
  <si>
    <t>SIG (OLD FORMULA)</t>
  </si>
  <si>
    <t>Predicted Acidity</t>
  </si>
  <si>
    <t>95% CI</t>
  </si>
  <si>
    <t>Lower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</si>
</sst>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d\-mmm\-yyyy"/>
    <numFmt numFmtId="187" formatCode="0.000000000000000000"/>
    <numFmt numFmtId="188" formatCode="0.000000000000"/>
    <numFmt numFmtId="189" formatCode="0.000000000"/>
    <numFmt numFmtId="190" formatCode="0.000000000000000000E+00"/>
    <numFmt numFmtId="191" formatCode="0.0000E+00"/>
    <numFmt numFmtId="192" formatCode="0.000E+00"/>
    <numFmt numFmtId="193" formatCode="0.E+00"/>
    <numFmt numFmtId="194" formatCode="dd\-mmm\-yy"/>
    <numFmt numFmtId="195" formatCode="0.00000000%"/>
    <numFmt numFmtId="196" formatCode="0.0%"/>
    <numFmt numFmtId="197" formatCode="0.0E+00"/>
    <numFmt numFmtId="198" formatCode="0.00000000"/>
    <numFmt numFmtId="199" formatCode="0.00%"/>
  </numFmts>
  <fonts count="7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10"/>
      <name val="Verdana"/>
      <family val="0"/>
    </font>
    <font>
      <b/>
      <sz val="14"/>
      <name val="Verdana"/>
      <family val="0"/>
    </font>
    <font>
      <sz val="10"/>
      <color indexed="9"/>
      <name val="Verdana"/>
      <family val="0"/>
    </font>
    <font>
      <b/>
      <sz val="18"/>
      <color indexed="9"/>
      <name val="Verdana"/>
      <family val="0"/>
    </font>
    <font>
      <b/>
      <sz val="18"/>
      <name val="Verdana"/>
      <family val="0"/>
    </font>
    <font>
      <sz val="14"/>
      <name val="Verdana"/>
      <family val="0"/>
    </font>
    <font>
      <b/>
      <sz val="10"/>
      <color indexed="9"/>
      <name val="Verdana"/>
      <family val="0"/>
    </font>
    <font>
      <sz val="9"/>
      <name val="Verdana"/>
      <family val="0"/>
    </font>
    <font>
      <u val="single"/>
      <sz val="10"/>
      <color indexed="9"/>
      <name val="Verdana"/>
      <family val="0"/>
    </font>
    <font>
      <b/>
      <sz val="9"/>
      <color indexed="9"/>
      <name val="Verdana"/>
      <family val="0"/>
    </font>
    <font>
      <b/>
      <sz val="14"/>
      <color indexed="10"/>
      <name val="Verdana"/>
      <family val="0"/>
    </font>
    <font>
      <b/>
      <i/>
      <sz val="14"/>
      <color indexed="10"/>
      <name val="Verdana"/>
      <family val="0"/>
    </font>
    <font>
      <sz val="14"/>
      <color indexed="10"/>
      <name val="Verdana"/>
      <family val="0"/>
    </font>
    <font>
      <sz val="11"/>
      <color indexed="8"/>
      <name val="Verdana"/>
      <family val="0"/>
    </font>
    <font>
      <sz val="9.75"/>
      <color indexed="8"/>
      <name val="Verdana"/>
      <family val="0"/>
    </font>
    <font>
      <sz val="10.1"/>
      <color indexed="8"/>
      <name val="Verdana"/>
      <family val="0"/>
    </font>
    <font>
      <sz val="1.5"/>
      <color indexed="8"/>
      <name val="Verdana"/>
      <family val="0"/>
    </font>
    <font>
      <sz val="1.35"/>
      <color indexed="8"/>
      <name val="Verdana"/>
      <family val="0"/>
    </font>
    <font>
      <vertAlign val="superscript"/>
      <sz val="1.5"/>
      <color indexed="8"/>
      <name val="Verdana"/>
      <family val="0"/>
    </font>
    <font>
      <sz val="8.75"/>
      <color indexed="8"/>
      <name val="Verdana"/>
      <family val="0"/>
    </font>
    <font>
      <vertAlign val="superscript"/>
      <sz val="8.7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Verdana"/>
      <family val="0"/>
    </font>
    <font>
      <b/>
      <sz val="14"/>
      <color indexed="8"/>
      <name val="Verdana"/>
      <family val="0"/>
    </font>
    <font>
      <b/>
      <sz val="18"/>
      <color indexed="8"/>
      <name val="Verdana"/>
      <family val="0"/>
    </font>
    <font>
      <b/>
      <sz val="10"/>
      <color indexed="8"/>
      <name val="Verdana"/>
      <family val="0"/>
    </font>
    <font>
      <b/>
      <sz val="20"/>
      <color indexed="8"/>
      <name val="Verdana"/>
      <family val="0"/>
    </font>
    <font>
      <b/>
      <sz val="17"/>
      <color indexed="8"/>
      <name val="Verdana"/>
      <family val="0"/>
    </font>
    <font>
      <sz val="9"/>
      <color indexed="8"/>
      <name val="Verdana"/>
      <family val="0"/>
    </font>
    <font>
      <b/>
      <sz val="11"/>
      <color indexed="8"/>
      <name val="Verdana"/>
      <family val="0"/>
    </font>
    <font>
      <b/>
      <sz val="15.25"/>
      <color indexed="8"/>
      <name val="Verdana"/>
      <family val="0"/>
    </font>
    <font>
      <b/>
      <sz val="1.5"/>
      <color indexed="8"/>
      <name val="Verdana"/>
      <family val="0"/>
    </font>
    <font>
      <b/>
      <sz val="2.25"/>
      <color indexed="8"/>
      <name val="Verdana"/>
      <family val="0"/>
    </font>
    <font>
      <b/>
      <sz val="8.75"/>
      <color indexed="8"/>
      <name val="Verdana"/>
      <family val="0"/>
    </font>
    <font>
      <b/>
      <sz val="12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 wrapText="1"/>
    </xf>
    <xf numFmtId="180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194" fontId="6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8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180" fontId="10" fillId="0" borderId="0" xfId="0" applyNumberFormat="1" applyFont="1" applyAlignment="1" applyProtection="1">
      <alignment vertical="top"/>
      <protection locked="0"/>
    </xf>
    <xf numFmtId="182" fontId="10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181" fontId="0" fillId="0" borderId="0" xfId="0" applyNumberFormat="1" applyAlignment="1" applyProtection="1">
      <alignment/>
      <protection locked="0"/>
    </xf>
    <xf numFmtId="181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0" xfId="0" applyFont="1" applyAlignment="1">
      <alignment/>
    </xf>
    <xf numFmtId="194" fontId="1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94" fontId="6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180" fontId="10" fillId="0" borderId="0" xfId="0" applyNumberFormat="1" applyFont="1" applyAlignment="1">
      <alignment horizontal="right" vertical="top"/>
    </xf>
    <xf numFmtId="180" fontId="10" fillId="0" borderId="0" xfId="0" applyNumberFormat="1" applyFont="1" applyAlignment="1">
      <alignment horizontal="right"/>
    </xf>
    <xf numFmtId="180" fontId="10" fillId="0" borderId="0" xfId="0" applyNumberFormat="1" applyFont="1" applyAlignment="1">
      <alignment/>
    </xf>
    <xf numFmtId="0" fontId="10" fillId="0" borderId="0" xfId="0" applyFont="1" applyAlignment="1">
      <alignment vertical="top"/>
    </xf>
    <xf numFmtId="180" fontId="10" fillId="0" borderId="0" xfId="0" applyNumberFormat="1" applyFont="1" applyAlignment="1">
      <alignment vertical="top"/>
    </xf>
    <xf numFmtId="182" fontId="10" fillId="0" borderId="0" xfId="0" applyNumberFormat="1" applyFont="1" applyAlignment="1">
      <alignment horizontal="right"/>
    </xf>
    <xf numFmtId="182" fontId="1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49" fontId="0" fillId="34" borderId="0" xfId="0" applyNumberFormat="1" applyFill="1" applyAlignment="1">
      <alignment horizontal="left" wrapText="1"/>
    </xf>
    <xf numFmtId="191" fontId="0" fillId="34" borderId="0" xfId="0" applyNumberFormat="1" applyFill="1" applyAlignment="1">
      <alignment horizontal="left"/>
    </xf>
    <xf numFmtId="181" fontId="0" fillId="34" borderId="0" xfId="0" applyNumberFormat="1" applyFill="1" applyAlignment="1">
      <alignment horizontal="left" wrapText="1"/>
    </xf>
    <xf numFmtId="181" fontId="0" fillId="34" borderId="0" xfId="0" applyNumberFormat="1" applyFill="1" applyAlignment="1">
      <alignment horizontal="left"/>
    </xf>
    <xf numFmtId="11" fontId="0" fillId="34" borderId="0" xfId="0" applyNumberFormat="1" applyFill="1" applyAlignment="1">
      <alignment horizontal="left" wrapText="1"/>
    </xf>
    <xf numFmtId="0" fontId="0" fillId="34" borderId="0" xfId="0" applyFill="1" applyAlignment="1">
      <alignment horizontal="left" wrapText="1"/>
    </xf>
    <xf numFmtId="180" fontId="0" fillId="34" borderId="0" xfId="0" applyNumberFormat="1" applyFill="1" applyAlignment="1">
      <alignment horizontal="left"/>
    </xf>
    <xf numFmtId="0" fontId="0" fillId="34" borderId="0" xfId="0" applyFill="1" applyAlignment="1">
      <alignment horizontal="left"/>
    </xf>
    <xf numFmtId="1" fontId="0" fillId="34" borderId="0" xfId="0" applyNumberFormat="1" applyFill="1" applyAlignment="1">
      <alignment horizontal="left"/>
    </xf>
    <xf numFmtId="0" fontId="0" fillId="34" borderId="0" xfId="0" applyFont="1" applyFill="1" applyAlignment="1">
      <alignment horizontal="left"/>
    </xf>
    <xf numFmtId="180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/>
    </xf>
    <xf numFmtId="181" fontId="0" fillId="34" borderId="0" xfId="0" applyNumberFormat="1" applyFont="1" applyFill="1" applyAlignment="1">
      <alignment horizontal="left"/>
    </xf>
    <xf numFmtId="181" fontId="0" fillId="34" borderId="0" xfId="0" applyNumberFormat="1" applyFont="1" applyFill="1" applyAlignment="1">
      <alignment/>
    </xf>
    <xf numFmtId="1" fontId="0" fillId="34" borderId="0" xfId="0" applyNumberFormat="1" applyFont="1" applyFill="1" applyAlignment="1">
      <alignment horizontal="left"/>
    </xf>
    <xf numFmtId="180" fontId="0" fillId="34" borderId="0" xfId="0" applyNumberFormat="1" applyFont="1" applyFill="1" applyAlignment="1">
      <alignment/>
    </xf>
    <xf numFmtId="1" fontId="0" fillId="35" borderId="0" xfId="0" applyNumberFormat="1" applyFill="1" applyAlignment="1">
      <alignment/>
    </xf>
    <xf numFmtId="0" fontId="10" fillId="0" borderId="0" xfId="0" applyFont="1" applyAlignment="1" applyProtection="1">
      <alignment/>
      <protection/>
    </xf>
    <xf numFmtId="10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97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left"/>
    </xf>
    <xf numFmtId="49" fontId="0" fillId="0" borderId="0" xfId="0" applyNumberFormat="1" applyFont="1" applyFill="1" applyAlignment="1">
      <alignment horizontal="left" wrapText="1"/>
    </xf>
    <xf numFmtId="11" fontId="0" fillId="34" borderId="0" xfId="0" applyNumberFormat="1" applyFill="1" applyAlignment="1">
      <alignment horizontal="left"/>
    </xf>
    <xf numFmtId="180" fontId="0" fillId="34" borderId="0" xfId="0" applyNumberFormat="1" applyFont="1" applyFill="1" applyAlignment="1">
      <alignment horizontal="left" wrapText="1"/>
    </xf>
    <xf numFmtId="0" fontId="12" fillId="33" borderId="10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right"/>
    </xf>
    <xf numFmtId="0" fontId="12" fillId="33" borderId="11" xfId="0" applyFont="1" applyFill="1" applyBorder="1" applyAlignment="1">
      <alignment horizontal="right"/>
    </xf>
    <xf numFmtId="0" fontId="12" fillId="33" borderId="0" xfId="0" applyFont="1" applyFill="1" applyAlignment="1">
      <alignment horizontal="right" vertical="top"/>
    </xf>
    <xf numFmtId="0" fontId="12" fillId="33" borderId="12" xfId="0" applyFont="1" applyFill="1" applyBorder="1" applyAlignment="1">
      <alignment horizontal="left" vertical="top"/>
    </xf>
    <xf numFmtId="0" fontId="0" fillId="33" borderId="0" xfId="0" applyFill="1" applyAlignment="1">
      <alignment vertical="top"/>
    </xf>
    <xf numFmtId="0" fontId="12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right" vertical="top"/>
    </xf>
    <xf numFmtId="0" fontId="12" fillId="33" borderId="0" xfId="0" applyFont="1" applyFill="1" applyAlignment="1">
      <alignment horizontal="left" vertical="top"/>
    </xf>
    <xf numFmtId="0" fontId="12" fillId="33" borderId="0" xfId="0" applyFont="1" applyFill="1" applyAlignment="1">
      <alignment/>
    </xf>
    <xf numFmtId="2" fontId="12" fillId="33" borderId="0" xfId="0" applyNumberFormat="1" applyFont="1" applyFill="1" applyAlignment="1">
      <alignment horizontal="left"/>
    </xf>
    <xf numFmtId="0" fontId="12" fillId="33" borderId="0" xfId="0" applyFont="1" applyFill="1" applyAlignment="1">
      <alignment vertical="top"/>
    </xf>
    <xf numFmtId="0" fontId="9" fillId="33" borderId="0" xfId="0" applyFont="1" applyFill="1" applyAlignment="1">
      <alignment horizontal="right" vertical="top"/>
    </xf>
    <xf numFmtId="0" fontId="12" fillId="33" borderId="0" xfId="0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center"/>
    </xf>
    <xf numFmtId="0" fontId="12" fillId="33" borderId="13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/>
    </xf>
    <xf numFmtId="180" fontId="12" fillId="33" borderId="14" xfId="0" applyNumberFormat="1" applyFont="1" applyFill="1" applyBorder="1" applyAlignment="1">
      <alignment horizontal="left"/>
    </xf>
    <xf numFmtId="1" fontId="12" fillId="33" borderId="0" xfId="0" applyNumberFormat="1" applyFont="1" applyFill="1" applyAlignment="1">
      <alignment horizontal="left"/>
    </xf>
    <xf numFmtId="0" fontId="0" fillId="33" borderId="0" xfId="0" applyFill="1" applyBorder="1" applyAlignment="1">
      <alignment vertical="top"/>
    </xf>
    <xf numFmtId="0" fontId="0" fillId="0" borderId="0" xfId="0" applyAlignment="1">
      <alignment horizontal="left"/>
    </xf>
    <xf numFmtId="194" fontId="12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center" vertical="top" wrapText="1"/>
    </xf>
    <xf numFmtId="197" fontId="0" fillId="34" borderId="0" xfId="0" applyNumberFormat="1" applyFill="1" applyAlignment="1">
      <alignment/>
    </xf>
    <xf numFmtId="197" fontId="0" fillId="34" borderId="0" xfId="0" applyNumberFormat="1" applyFill="1" applyAlignment="1">
      <alignment horizontal="left"/>
    </xf>
    <xf numFmtId="1" fontId="0" fillId="34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180" fontId="0" fillId="0" borderId="0" xfId="0" applyNumberFormat="1" applyFill="1" applyAlignment="1">
      <alignment horizontal="left"/>
    </xf>
    <xf numFmtId="0" fontId="0" fillId="33" borderId="0" xfId="0" applyFill="1" applyAlignment="1">
      <alignment horizontal="left" wrapText="1"/>
    </xf>
    <xf numFmtId="0" fontId="8" fillId="33" borderId="0" xfId="0" applyFont="1" applyFill="1" applyAlignment="1">
      <alignment/>
    </xf>
    <xf numFmtId="180" fontId="0" fillId="0" borderId="0" xfId="0" applyNumberFormat="1" applyAlignment="1">
      <alignment horizontal="left"/>
    </xf>
    <xf numFmtId="0" fontId="12" fillId="33" borderId="0" xfId="0" applyNumberFormat="1" applyFont="1" applyFill="1" applyAlignment="1">
      <alignment horizontal="left"/>
    </xf>
    <xf numFmtId="0" fontId="12" fillId="33" borderId="0" xfId="0" applyFont="1" applyFill="1" applyAlignment="1">
      <alignment horizontal="right"/>
    </xf>
    <xf numFmtId="180" fontId="12" fillId="33" borderId="0" xfId="0" applyNumberFormat="1" applyFont="1" applyFill="1" applyAlignment="1">
      <alignment horizontal="left"/>
    </xf>
    <xf numFmtId="2" fontId="12" fillId="33" borderId="0" xfId="0" applyNumberFormat="1" applyFont="1" applyFill="1" applyAlignment="1">
      <alignment/>
    </xf>
    <xf numFmtId="1" fontId="12" fillId="33" borderId="0" xfId="0" applyNumberFormat="1" applyFont="1" applyFill="1" applyAlignment="1">
      <alignment/>
    </xf>
    <xf numFmtId="1" fontId="0" fillId="0" borderId="0" xfId="0" applyNumberFormat="1" applyAlignment="1">
      <alignment horizontal="left"/>
    </xf>
    <xf numFmtId="180" fontId="12" fillId="33" borderId="0" xfId="0" applyNumberFormat="1" applyFont="1" applyFill="1" applyAlignment="1">
      <alignment/>
    </xf>
    <xf numFmtId="1" fontId="12" fillId="33" borderId="14" xfId="0" applyNumberFormat="1" applyFont="1" applyFill="1" applyBorder="1" applyAlignment="1">
      <alignment horizontal="left"/>
    </xf>
    <xf numFmtId="198" fontId="0" fillId="0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 shrinkToFit="1"/>
    </xf>
    <xf numFmtId="182" fontId="0" fillId="0" borderId="0" xfId="0" applyNumberFormat="1" applyFont="1" applyFill="1" applyAlignment="1">
      <alignment horizontal="left"/>
    </xf>
    <xf numFmtId="182" fontId="0" fillId="0" borderId="0" xfId="0" applyNumberFormat="1" applyAlignment="1">
      <alignment horizontal="left"/>
    </xf>
    <xf numFmtId="0" fontId="0" fillId="35" borderId="0" xfId="0" applyFont="1" applyFill="1" applyAlignment="1">
      <alignment horizontal="left"/>
    </xf>
    <xf numFmtId="180" fontId="0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/>
    </xf>
    <xf numFmtId="1" fontId="0" fillId="36" borderId="0" xfId="0" applyNumberFormat="1" applyFont="1" applyFill="1" applyAlignment="1">
      <alignment horizontal="left"/>
    </xf>
    <xf numFmtId="0" fontId="0" fillId="36" borderId="0" xfId="0" applyFill="1" applyAlignment="1">
      <alignment horizontal="left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181" fontId="0" fillId="0" borderId="0" xfId="0" applyNumberFormat="1" applyAlignment="1">
      <alignment horizontal="left"/>
    </xf>
    <xf numFmtId="0" fontId="0" fillId="33" borderId="0" xfId="0" applyFill="1" applyBorder="1" applyAlignment="1">
      <alignment/>
    </xf>
    <xf numFmtId="0" fontId="12" fillId="33" borderId="0" xfId="0" applyFont="1" applyFill="1" applyBorder="1" applyAlignment="1">
      <alignment horizontal="left"/>
    </xf>
    <xf numFmtId="194" fontId="16" fillId="35" borderId="0" xfId="0" applyNumberFormat="1" applyFont="1" applyFill="1" applyAlignment="1" applyProtection="1">
      <alignment horizontal="right" vertical="top" wrapText="1"/>
      <protection/>
    </xf>
    <xf numFmtId="194" fontId="7" fillId="0" borderId="0" xfId="0" applyNumberFormat="1" applyFont="1" applyAlignment="1">
      <alignment horizontal="right"/>
    </xf>
    <xf numFmtId="0" fontId="16" fillId="35" borderId="0" xfId="0" applyFont="1" applyFill="1" applyAlignment="1" applyProtection="1">
      <alignment horizontal="right" vertical="top" wrapText="1"/>
      <protection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80" fontId="16" fillId="35" borderId="0" xfId="0" applyNumberFormat="1" applyFont="1" applyFill="1" applyAlignment="1" applyProtection="1">
      <alignment horizontal="right" vertical="top" wrapText="1"/>
      <protection/>
    </xf>
    <xf numFmtId="180" fontId="7" fillId="0" borderId="0" xfId="0" applyNumberFormat="1" applyFont="1" applyAlignment="1">
      <alignment horizontal="right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1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180" fontId="7" fillId="0" borderId="0" xfId="0" applyNumberFormat="1" applyFont="1" applyAlignment="1">
      <alignment horizontal="right" vertical="top"/>
    </xf>
    <xf numFmtId="0" fontId="16" fillId="35" borderId="0" xfId="0" applyFont="1" applyFill="1" applyAlignment="1" applyProtection="1">
      <alignment horizontal="right"/>
      <protection locked="0"/>
    </xf>
    <xf numFmtId="180" fontId="7" fillId="0" borderId="0" xfId="0" applyNumberFormat="1" applyFont="1" applyAlignment="1" applyProtection="1">
      <alignment horizontal="right"/>
      <protection locked="0"/>
    </xf>
    <xf numFmtId="1" fontId="7" fillId="0" borderId="0" xfId="0" applyNumberFormat="1" applyFont="1" applyAlignment="1" applyProtection="1">
      <alignment horizontal="right"/>
      <protection locked="0"/>
    </xf>
    <xf numFmtId="182" fontId="7" fillId="0" borderId="0" xfId="0" applyNumberFormat="1" applyFont="1" applyAlignment="1">
      <alignment horizontal="right"/>
    </xf>
    <xf numFmtId="182" fontId="16" fillId="35" borderId="0" xfId="0" applyNumberFormat="1" applyFont="1" applyFill="1" applyAlignment="1" applyProtection="1">
      <alignment horizontal="right" vertical="top" wrapText="1"/>
      <protection/>
    </xf>
    <xf numFmtId="1" fontId="7" fillId="0" borderId="0" xfId="0" applyNumberFormat="1" applyFont="1" applyAlignment="1">
      <alignment horizontal="right"/>
    </xf>
    <xf numFmtId="2" fontId="7" fillId="0" borderId="0" xfId="0" applyNumberFormat="1" applyFont="1" applyAlignment="1" applyProtection="1">
      <alignment horizontal="right"/>
      <protection locked="0"/>
    </xf>
    <xf numFmtId="14" fontId="7" fillId="0" borderId="0" xfId="0" applyNumberFormat="1" applyFont="1" applyAlignment="1">
      <alignment horizontal="right"/>
    </xf>
    <xf numFmtId="0" fontId="12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33" borderId="0" xfId="0" applyFont="1" applyFill="1" applyAlignment="1">
      <alignment horizontal="center" vertical="top" wrapText="1" shrinkToFit="1"/>
    </xf>
    <xf numFmtId="0" fontId="13" fillId="0" borderId="0" xfId="0" applyFont="1" applyAlignment="1">
      <alignment horizontal="center" wrapText="1" shrinkToFit="1"/>
    </xf>
    <xf numFmtId="0" fontId="9" fillId="33" borderId="0" xfId="0" applyFont="1" applyFill="1" applyAlignment="1">
      <alignment vertical="top" wrapText="1"/>
    </xf>
    <xf numFmtId="0" fontId="0" fillId="0" borderId="0" xfId="0" applyAlignment="1">
      <alignment/>
    </xf>
    <xf numFmtId="0" fontId="8" fillId="33" borderId="0" xfId="0" applyFont="1" applyFill="1" applyAlignment="1">
      <alignment horizontal="justify" vertical="center" wrapText="1"/>
    </xf>
    <xf numFmtId="0" fontId="14" fillId="33" borderId="0" xfId="53" applyFont="1" applyFill="1" applyAlignment="1" applyProtection="1">
      <alignment horizontal="left" vertical="center" wrapText="1"/>
      <protection/>
    </xf>
    <xf numFmtId="0" fontId="14" fillId="0" borderId="0" xfId="53" applyFont="1" applyAlignment="1" applyProtection="1">
      <alignment horizontal="left" wrapText="1"/>
      <protection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1">
    <dxf>
      <font>
        <b/>
        <i val="0"/>
        <color indexed="10"/>
      </font>
    </dxf>
    <dxf>
      <font>
        <b/>
        <i val="0"/>
        <color indexed="51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 val="0"/>
        <color indexed="51"/>
      </font>
    </dxf>
    <dxf>
      <font>
        <b/>
        <i val="0"/>
        <color indexed="10"/>
      </font>
    </dxf>
    <dxf>
      <font>
        <b/>
        <i val="0"/>
        <color indexed="51"/>
      </font>
    </dxf>
    <dxf>
      <font>
        <b/>
        <i val="0"/>
        <color indexed="10"/>
      </font>
    </dxf>
    <dxf>
      <font>
        <b/>
        <i val="0"/>
        <color indexed="51"/>
      </font>
    </dxf>
    <dxf>
      <font>
        <b/>
        <i val="0"/>
        <color indexed="10"/>
      </font>
    </dxf>
    <dxf>
      <font>
        <b/>
        <i val="0"/>
        <color indexed="51"/>
      </font>
    </dxf>
    <dxf>
      <font>
        <b/>
        <i val="0"/>
        <color indexed="10"/>
      </font>
    </dxf>
    <dxf>
      <font>
        <b/>
        <i val="0"/>
        <color indexed="51"/>
      </font>
    </dxf>
    <dxf>
      <font>
        <b/>
        <i val="0"/>
        <color indexed="10"/>
      </font>
    </dxf>
    <dxf>
      <font>
        <b/>
        <i val="0"/>
        <color indexed="51"/>
      </font>
    </dxf>
    <dxf>
      <font>
        <b/>
        <i val="0"/>
        <color indexed="10"/>
      </font>
    </dxf>
    <dxf>
      <font>
        <b/>
        <i val="0"/>
        <color indexed="51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 val="0"/>
        <color indexed="5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1"/>
      </font>
    </dxf>
    <dxf>
      <font>
        <b/>
        <i val="0"/>
        <color indexed="10"/>
      </font>
    </dxf>
    <dxf>
      <font>
        <b/>
        <i val="0"/>
        <color indexed="51"/>
      </font>
    </dxf>
    <dxf>
      <font>
        <b/>
        <i val="0"/>
        <color indexed="10"/>
      </font>
    </dxf>
    <dxf>
      <font>
        <b/>
        <i val="0"/>
        <color indexed="51"/>
      </font>
    </dxf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indexed="51"/>
      </font>
    </dxf>
    <dxf>
      <font>
        <b/>
        <i/>
        <color indexed="51"/>
      </font>
    </dxf>
    <dxf>
      <font>
        <b/>
        <i/>
        <color indexed="10"/>
      </font>
    </dxf>
    <dxf>
      <font>
        <b/>
        <i val="0"/>
        <color indexed="51"/>
      </font>
    </dxf>
    <dxf>
      <font>
        <b/>
        <i val="0"/>
        <color indexed="10"/>
      </font>
    </dxf>
    <dxf>
      <font>
        <b/>
        <i val="0"/>
        <color indexed="51"/>
      </font>
    </dxf>
    <dxf>
      <font>
        <b/>
        <i val="0"/>
        <color indexed="10"/>
      </font>
    </dxf>
    <dxf>
      <font>
        <b/>
        <i val="0"/>
        <color indexed="5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FFCC00"/>
      </font>
      <border/>
    </dxf>
    <dxf>
      <font>
        <b/>
        <i/>
        <color rgb="FFFF0000"/>
      </font>
      <border/>
    </dxf>
    <dxf>
      <font>
        <b/>
        <i/>
        <color rgb="FFFFCC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Gamblegram</a:t>
            </a:r>
          </a:p>
        </c:rich>
      </c:tx>
      <c:layout>
        <c:manualLayout>
          <c:xMode val="factor"/>
          <c:yMode val="factor"/>
          <c:x val="-0.007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975"/>
          <c:w val="0.928"/>
          <c:h val="0.83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Gamblegram!$A$2</c:f>
              <c:strCache>
                <c:ptCount val="1"/>
                <c:pt idx="0">
                  <c:v>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Gamblegram!$B$1:$C$1</c:f>
              <c:strCache/>
            </c:strRef>
          </c:cat>
          <c:val>
            <c:numRef>
              <c:f>Gamblegram!$B$2:$C$2</c:f>
              <c:numCache/>
            </c:numRef>
          </c:val>
        </c:ser>
        <c:ser>
          <c:idx val="1"/>
          <c:order val="1"/>
          <c:tx>
            <c:strRef>
              <c:f>Gamblegram!$A$3</c:f>
              <c:strCache>
                <c:ptCount val="1"/>
                <c:pt idx="0">
                  <c:v>K, Ca, Mg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Gamblegram!$B$1:$C$1</c:f>
              <c:strCache/>
            </c:strRef>
          </c:cat>
          <c:val>
            <c:numRef>
              <c:f>Gamblegram!$B$3:$C$3</c:f>
              <c:numCache/>
            </c:numRef>
          </c:val>
        </c:ser>
        <c:ser>
          <c:idx val="2"/>
          <c:order val="2"/>
          <c:tx>
            <c:strRef>
              <c:f>Gamblegram!$A$4</c:f>
              <c:strCache>
                <c:ptCount val="1"/>
                <c:pt idx="0">
                  <c:v>Unmeasured Cations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Gamblegram!$B$1:$C$1</c:f>
              <c:strCache/>
            </c:strRef>
          </c:cat>
          <c:val>
            <c:numRef>
              <c:f>Gamblegram!$B$4:$C$4</c:f>
              <c:numCache/>
            </c:numRef>
          </c:val>
        </c:ser>
        <c:ser>
          <c:idx val="3"/>
          <c:order val="3"/>
          <c:tx>
            <c:strRef>
              <c:f>Gamblegram!$A$5</c:f>
              <c:strCache>
                <c:ptCount val="1"/>
                <c:pt idx="0">
                  <c:v>Chloride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Gamblegram!$B$1:$C$1</c:f>
              <c:strCache/>
            </c:strRef>
          </c:cat>
          <c:val>
            <c:numRef>
              <c:f>Gamblegram!$B$5:$C$5</c:f>
              <c:numCache/>
            </c:numRef>
          </c:val>
        </c:ser>
        <c:ser>
          <c:idx val="4"/>
          <c:order val="4"/>
          <c:tx>
            <c:strRef>
              <c:f>Gamblegram!$A$6</c:f>
              <c:strCache>
                <c:ptCount val="1"/>
                <c:pt idx="0">
                  <c:v>Lactate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Gamblegram!$B$1:$C$1</c:f>
              <c:strCache/>
            </c:strRef>
          </c:cat>
          <c:val>
            <c:numRef>
              <c:f>Gamblegram!$B$6:$C$6</c:f>
              <c:numCache/>
            </c:numRef>
          </c:val>
        </c:ser>
        <c:ser>
          <c:idx val="5"/>
          <c:order val="5"/>
          <c:tx>
            <c:strRef>
              <c:f>Gamblegram!$A$7</c:f>
              <c:strCache>
                <c:ptCount val="1"/>
                <c:pt idx="0">
                  <c:v>Prot, Phos, Sulph SI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Gamblegram!$B$1:$C$1</c:f>
              <c:strCache/>
            </c:strRef>
          </c:cat>
          <c:val>
            <c:numRef>
              <c:f>Gamblegram!$B$7:$C$7</c:f>
              <c:numCache/>
            </c:numRef>
          </c:val>
        </c:ser>
        <c:ser>
          <c:idx val="6"/>
          <c:order val="6"/>
          <c:tx>
            <c:strRef>
              <c:f>Gamblegram!$A$8</c:f>
              <c:strCache>
                <c:ptCount val="1"/>
                <c:pt idx="0">
                  <c:v>Prot, Phos, Urate WAA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Gamblegram!$B$1:$C$1</c:f>
              <c:strCache/>
            </c:strRef>
          </c:cat>
          <c:val>
            <c:numRef>
              <c:f>Gamblegram!$B$8:$C$8</c:f>
              <c:numCache/>
            </c:numRef>
          </c:val>
        </c:ser>
        <c:ser>
          <c:idx val="7"/>
          <c:order val="7"/>
          <c:tx>
            <c:strRef>
              <c:f>Gamblegram!$A$9</c:f>
              <c:strCache>
                <c:ptCount val="1"/>
                <c:pt idx="0">
                  <c:v>Bicarbonate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Gamblegram!$B$1:$C$1</c:f>
              <c:strCache/>
            </c:strRef>
          </c:cat>
          <c:val>
            <c:numRef>
              <c:f>Gamblegram!$B$9:$C$9</c:f>
              <c:numCache/>
            </c:numRef>
          </c:val>
        </c:ser>
        <c:ser>
          <c:idx val="8"/>
          <c:order val="8"/>
          <c:tx>
            <c:strRef>
              <c:f>Gamblegram!$A$10</c:f>
              <c:strCache>
                <c:ptCount val="1"/>
                <c:pt idx="0">
                  <c:v>Unmeasured Anions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Gamblegram!$B$1:$C$1</c:f>
              <c:strCache/>
            </c:strRef>
          </c:cat>
          <c:val>
            <c:numRef>
              <c:f>Gamblegram!$B$10:$C$10</c:f>
              <c:numCache/>
            </c:numRef>
          </c:val>
        </c:ser>
        <c:overlap val="100"/>
        <c:axId val="5319243"/>
        <c:axId val="47873188"/>
      </c:barChart>
      <c:catAx>
        <c:axId val="531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73188"/>
        <c:crosses val="autoZero"/>
        <c:auto val="1"/>
        <c:lblOffset val="100"/>
        <c:tickLblSkip val="1"/>
        <c:noMultiLvlLbl val="0"/>
      </c:catAx>
      <c:valAx>
        <c:axId val="47873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Ionic Strength (mEq/L)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319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15"/>
          <c:y val="0.33775"/>
          <c:w val="0.21575"/>
          <c:h val="0.4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Performance of Strong Ion Calculator V6.9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Regression!#REF!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strRef>
              <c:f>Regression!#REF!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Regression!#REF!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8205509"/>
        <c:axId val="52522990"/>
      </c:scatterChart>
      <c:valAx>
        <c:axId val="28205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Observed Acidity (nmol/L)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22990"/>
        <c:crosses val="autoZero"/>
        <c:crossBetween val="midCat"/>
        <c:dispUnits/>
      </c:valAx>
      <c:valAx>
        <c:axId val="52522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Predicted Acidity (nmol/L)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5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Performance of Strong Ion Calculator V 7.0</a:t>
            </a:r>
          </a:p>
        </c:rich>
      </c:tx>
      <c:layout>
        <c:manualLayout>
          <c:xMode val="factor"/>
          <c:yMode val="factor"/>
          <c:x val="-0.016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1"/>
          <c:w val="0.94375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Regression!$B$1</c:f>
              <c:strCache>
                <c:ptCount val="1"/>
                <c:pt idx="0">
                  <c:v>Predicted Acidity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Regression!$A$2:$A$73</c:f>
              <c:numCache/>
            </c:numRef>
          </c:xVal>
          <c:yVal>
            <c:numRef>
              <c:f>Regression!$B$2:$B$73</c:f>
              <c:numCache/>
            </c:numRef>
          </c:yVal>
          <c:smooth val="0"/>
        </c:ser>
        <c:axId val="2944863"/>
        <c:axId val="26503768"/>
      </c:scatterChart>
      <c:valAx>
        <c:axId val="294486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Observed Acidity (nmol/L)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03768"/>
        <c:crosses val="autoZero"/>
        <c:crossBetween val="midCat"/>
        <c:dispUnits/>
      </c:valAx>
      <c:valAx>
        <c:axId val="26503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Predicted Acidity (nmol/L)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4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Bland Altman Plot of Absolute Error </a:t>
            </a:r>
          </a:p>
        </c:rich>
      </c:tx>
      <c:layout>
        <c:manualLayout>
          <c:xMode val="factor"/>
          <c:yMode val="factor"/>
          <c:x val="-0.009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51"/>
          <c:w val="0.924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Regression!$D$1</c:f>
              <c:strCache>
                <c:ptCount val="1"/>
                <c:pt idx="0">
                  <c:v>Absolute Difference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Regression!$C$2:$C$73</c:f>
              <c:numCache/>
            </c:numRef>
          </c:xVal>
          <c:yVal>
            <c:numRef>
              <c:f>Regression!$D$2:$D$73</c:f>
              <c:numCache/>
            </c:numRef>
          </c:yVal>
          <c:smooth val="0"/>
        </c:ser>
        <c:axId val="37207321"/>
        <c:axId val="66430434"/>
      </c:scatterChart>
      <c:valAx>
        <c:axId val="3720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Average of observed and predicted acidity (nmol/L)</a:t>
                </a:r>
              </a:p>
            </c:rich>
          </c:tx>
          <c:layout>
            <c:manualLayout>
              <c:xMode val="factor"/>
              <c:yMode val="factor"/>
              <c:x val="0.007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30434"/>
        <c:crosses val="autoZero"/>
        <c:crossBetween val="midCat"/>
        <c:dispUnits/>
      </c:valAx>
      <c:valAx>
        <c:axId val="66430434"/>
        <c:scaling>
          <c:orientation val="minMax"/>
          <c:max val="1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Absolute difference (predicted - observed acidity), (nmol/L)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07321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Bland-Altman Plot of Relative Error</a:t>
            </a:r>
          </a:p>
        </c:rich>
      </c:tx>
      <c:layout>
        <c:manualLayout>
          <c:xMode val="factor"/>
          <c:yMode val="factor"/>
          <c:x val="-0.010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15"/>
          <c:w val="0.94375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Regression!$F$1</c:f>
              <c:strCache>
                <c:ptCount val="1"/>
                <c:pt idx="0">
                  <c:v>Rel. diff.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Regression!$E$2:$E$73</c:f>
              <c:numCache/>
            </c:numRef>
          </c:xVal>
          <c:yVal>
            <c:numRef>
              <c:f>Regression!$F$2:$F$73</c:f>
              <c:numCache/>
            </c:numRef>
          </c:yVal>
          <c:smooth val="0"/>
        </c:ser>
        <c:axId val="61002995"/>
        <c:axId val="12156044"/>
      </c:scatterChart>
      <c:valAx>
        <c:axId val="61002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Average of observed and predicted acidity (nmol/L)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6044"/>
        <c:crosses val="autoZero"/>
        <c:crossBetween val="midCat"/>
        <c:dispUnits/>
      </c:valAx>
      <c:valAx>
        <c:axId val="12156044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Relative difference (%)</a:t>
                </a:r>
              </a:p>
            </c:rich>
          </c:tx>
          <c:layout>
            <c:manualLayout>
              <c:xMode val="factor"/>
              <c:yMode val="factor"/>
              <c:x val="-0.0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029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Albumin Data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75"/>
          <c:w val="0.94875"/>
          <c:h val="0.7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Regression!$P$1</c:f>
              <c:strCache>
                <c:ptCount val="1"/>
                <c:pt idx="0">
                  <c:v>Albumin Predicted Acidity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Regression!$O$2:$O$66</c:f>
              <c:numCache/>
            </c:numRef>
          </c:xVal>
          <c:yVal>
            <c:numRef>
              <c:f>Regression!$P$2:$P$66</c:f>
              <c:numCache/>
            </c:numRef>
          </c:yVal>
          <c:smooth val="0"/>
        </c:ser>
        <c:axId val="42295533"/>
        <c:axId val="45115478"/>
      </c:scatterChart>
      <c:valAx>
        <c:axId val="42295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Observed Acidity (nmol/L)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15478"/>
        <c:crosses val="autoZero"/>
        <c:crossBetween val="midCat"/>
        <c:dispUnits/>
      </c:valAx>
      <c:valAx>
        <c:axId val="45115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Predicted Acidity (nmol/L)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55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Albumin Data. Bland-Altman Plot of Absolute Difference</a:t>
            </a:r>
          </a:p>
        </c:rich>
      </c:tx>
      <c:layout>
        <c:manualLayout>
          <c:xMode val="factor"/>
          <c:yMode val="factor"/>
          <c:x val="-0.011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375"/>
          <c:w val="0.95475"/>
          <c:h val="0.8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Regression!$R$1</c:f>
              <c:strCache>
                <c:ptCount val="1"/>
                <c:pt idx="0">
                  <c:v>Absolute Difference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Regression!$Q$2:$Q$66</c:f>
              <c:numCache/>
            </c:numRef>
          </c:xVal>
          <c:yVal>
            <c:numRef>
              <c:f>Regression!$R$2:$R$66</c:f>
              <c:numCache/>
            </c:numRef>
          </c:yVal>
          <c:smooth val="0"/>
        </c:ser>
        <c:axId val="3386119"/>
        <c:axId val="30475072"/>
      </c:scatterChart>
      <c:valAx>
        <c:axId val="3386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Average of observed and predicted acidity (nmol/L)</a:t>
                </a:r>
              </a:p>
            </c:rich>
          </c:tx>
          <c:layout>
            <c:manualLayout>
              <c:xMode val="factor"/>
              <c:yMode val="factor"/>
              <c:x val="0.008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75072"/>
        <c:crosses val="autoZero"/>
        <c:crossBetween val="midCat"/>
        <c:dispUnits/>
      </c:valAx>
      <c:valAx>
        <c:axId val="30475072"/>
        <c:scaling>
          <c:orientation val="minMax"/>
          <c:max val="140"/>
          <c:min val="-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Absolute difference (predicted - observed acidity) (nmol/L)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6119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Albumin Data. Bland-Altman Plot of Relative Difference</a:t>
            </a:r>
          </a:p>
        </c:rich>
      </c:tx>
      <c:layout>
        <c:manualLayout>
          <c:xMode val="factor"/>
          <c:yMode val="factor"/>
          <c:x val="-0.014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75"/>
          <c:w val="0.94875"/>
          <c:h val="0.7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Regression!$T$1</c:f>
              <c:strCache>
                <c:ptCount val="1"/>
                <c:pt idx="0">
                  <c:v>Rel. diff.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Regression!$S$2:$S$66</c:f>
              <c:numCache/>
            </c:numRef>
          </c:xVal>
          <c:yVal>
            <c:numRef>
              <c:f>Regression!$T$2:$T$66</c:f>
              <c:numCache/>
            </c:numRef>
          </c:yVal>
          <c:smooth val="0"/>
        </c:ser>
        <c:axId val="5840193"/>
        <c:axId val="52561738"/>
      </c:scatterChart>
      <c:valAx>
        <c:axId val="5840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Average of observed and predicted acidity (nmol/L)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61738"/>
        <c:crosses val="autoZero"/>
        <c:crossBetween val="midCat"/>
        <c:dispUnits/>
      </c:valAx>
      <c:valAx>
        <c:axId val="52561738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Relative error (%)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01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142875</xdr:rowOff>
    </xdr:from>
    <xdr:to>
      <xdr:col>5</xdr:col>
      <xdr:colOff>676275</xdr:colOff>
      <xdr:row>25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343150" y="552450"/>
          <a:ext cx="4381500" cy="37052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</xdr:col>
      <xdr:colOff>1524000</xdr:colOff>
      <xdr:row>5</xdr:row>
      <xdr:rowOff>9525</xdr:rowOff>
    </xdr:from>
    <xdr:ext cx="790575" cy="609600"/>
    <xdr:sp>
      <xdr:nvSpPr>
        <xdr:cNvPr id="2" name="Text Box 2"/>
        <xdr:cNvSpPr txBox="1">
          <a:spLocks noChangeArrowheads="1"/>
        </xdr:cNvSpPr>
      </xdr:nvSpPr>
      <xdr:spPr>
        <a:xfrm>
          <a:off x="4124325" y="942975"/>
          <a:ext cx="790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6576" rIns="54864" bIns="0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SID</a:t>
          </a: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(N=35)</a:t>
          </a:r>
        </a:p>
      </xdr:txBody>
    </xdr:sp>
    <xdr:clientData/>
  </xdr:oneCellAnchor>
  <xdr:oneCellAnchor>
    <xdr:from>
      <xdr:col>4</xdr:col>
      <xdr:colOff>3105150</xdr:colOff>
      <xdr:row>22</xdr:row>
      <xdr:rowOff>0</xdr:rowOff>
    </xdr:from>
    <xdr:ext cx="733425" cy="609600"/>
    <xdr:sp>
      <xdr:nvSpPr>
        <xdr:cNvPr id="3" name="Text Box 3"/>
        <xdr:cNvSpPr txBox="1">
          <a:spLocks noChangeArrowheads="1"/>
        </xdr:cNvSpPr>
      </xdr:nvSpPr>
      <xdr:spPr>
        <a:xfrm>
          <a:off x="5705475" y="3648075"/>
          <a:ext cx="7334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6576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Atot</a:t>
          </a: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(N=17)</a:t>
          </a:r>
        </a:p>
      </xdr:txBody>
    </xdr:sp>
    <xdr:clientData/>
  </xdr:oneCellAnchor>
  <xdr:oneCellAnchor>
    <xdr:from>
      <xdr:col>4</xdr:col>
      <xdr:colOff>19050</xdr:colOff>
      <xdr:row>22</xdr:row>
      <xdr:rowOff>0</xdr:rowOff>
    </xdr:from>
    <xdr:ext cx="800100" cy="609600"/>
    <xdr:sp>
      <xdr:nvSpPr>
        <xdr:cNvPr id="4" name="Text Box 4"/>
        <xdr:cNvSpPr txBox="1">
          <a:spLocks noChangeArrowheads="1"/>
        </xdr:cNvSpPr>
      </xdr:nvSpPr>
      <xdr:spPr>
        <a:xfrm>
          <a:off x="2619375" y="3648075"/>
          <a:ext cx="8001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6576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</a:t>
          </a:r>
          <a:r>
            <a:rPr lang="en-US" cap="none" sz="1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CO2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(N=5.3)</a:t>
          </a:r>
        </a:p>
      </xdr:txBody>
    </xdr:sp>
    <xdr:clientData/>
  </xdr:oneCellAnchor>
  <xdr:oneCellAnchor>
    <xdr:from>
      <xdr:col>4</xdr:col>
      <xdr:colOff>714375</xdr:colOff>
      <xdr:row>12</xdr:row>
      <xdr:rowOff>133350</xdr:rowOff>
    </xdr:from>
    <xdr:ext cx="2533650" cy="590550"/>
    <xdr:sp>
      <xdr:nvSpPr>
        <xdr:cNvPr id="5" name="Text Box 5"/>
        <xdr:cNvSpPr txBox="1">
          <a:spLocks noChangeArrowheads="1"/>
        </xdr:cNvSpPr>
      </xdr:nvSpPr>
      <xdr:spPr>
        <a:xfrm>
          <a:off x="3314700" y="2171700"/>
          <a:ext cx="25336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QUANTITATIVE</a:t>
          </a:r>
          <a:r>
            <a:rPr lang="en-US" cap="none" sz="1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7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ACID-BASE ANALYSIS</a:t>
          </a:r>
        </a:p>
      </xdr:txBody>
    </xdr:sp>
    <xdr:clientData/>
  </xdr:oneCellAnchor>
  <xdr:oneCellAnchor>
    <xdr:from>
      <xdr:col>4</xdr:col>
      <xdr:colOff>990600</xdr:colOff>
      <xdr:row>18</xdr:row>
      <xdr:rowOff>85725</xdr:rowOff>
    </xdr:from>
    <xdr:ext cx="1895475" cy="1000125"/>
    <xdr:sp>
      <xdr:nvSpPr>
        <xdr:cNvPr id="6" name="Text Box 6"/>
        <xdr:cNvSpPr txBox="1">
          <a:spLocks noChangeArrowheads="1"/>
        </xdr:cNvSpPr>
      </xdr:nvSpPr>
      <xdr:spPr>
        <a:xfrm>
          <a:off x="3590925" y="3086100"/>
          <a:ext cx="18954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N.B. Numbers in brackets represent the bias in acidity in nmol/L due to deviation of the independent factor from its normal value, with the other two factors and calculated net unmeasured ions fixed.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11</xdr:row>
      <xdr:rowOff>76200</xdr:rowOff>
    </xdr:from>
    <xdr:to>
      <xdr:col>8</xdr:col>
      <xdr:colOff>819150</xdr:colOff>
      <xdr:row>40</xdr:row>
      <xdr:rowOff>66675</xdr:rowOff>
    </xdr:to>
    <xdr:graphicFrame>
      <xdr:nvGraphicFramePr>
        <xdr:cNvPr id="1" name="Chart -1023"/>
        <xdr:cNvGraphicFramePr/>
      </xdr:nvGraphicFramePr>
      <xdr:xfrm>
        <a:off x="276225" y="1752600"/>
        <a:ext cx="78676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0</xdr:rowOff>
    </xdr:from>
    <xdr:to>
      <xdr:col>10</xdr:col>
      <xdr:colOff>790575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943350" y="0"/>
        <a:ext cx="6019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1</xdr:row>
      <xdr:rowOff>76200</xdr:rowOff>
    </xdr:from>
    <xdr:to>
      <xdr:col>13</xdr:col>
      <xdr:colOff>323850</xdr:colOff>
      <xdr:row>25</xdr:row>
      <xdr:rowOff>142875</xdr:rowOff>
    </xdr:to>
    <xdr:graphicFrame>
      <xdr:nvGraphicFramePr>
        <xdr:cNvPr id="2" name="Chart -1023"/>
        <xdr:cNvGraphicFramePr/>
      </xdr:nvGraphicFramePr>
      <xdr:xfrm>
        <a:off x="5895975" y="228600"/>
        <a:ext cx="61150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85725</xdr:colOff>
      <xdr:row>26</xdr:row>
      <xdr:rowOff>0</xdr:rowOff>
    </xdr:from>
    <xdr:to>
      <xdr:col>13</xdr:col>
      <xdr:colOff>333375</xdr:colOff>
      <xdr:row>50</xdr:row>
      <xdr:rowOff>66675</xdr:rowOff>
    </xdr:to>
    <xdr:graphicFrame>
      <xdr:nvGraphicFramePr>
        <xdr:cNvPr id="3" name="Chart -1022"/>
        <xdr:cNvGraphicFramePr/>
      </xdr:nvGraphicFramePr>
      <xdr:xfrm>
        <a:off x="5905500" y="3962400"/>
        <a:ext cx="611505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85725</xdr:colOff>
      <xdr:row>50</xdr:row>
      <xdr:rowOff>66675</xdr:rowOff>
    </xdr:from>
    <xdr:to>
      <xdr:col>13</xdr:col>
      <xdr:colOff>333375</xdr:colOff>
      <xdr:row>74</xdr:row>
      <xdr:rowOff>114300</xdr:rowOff>
    </xdr:to>
    <xdr:graphicFrame>
      <xdr:nvGraphicFramePr>
        <xdr:cNvPr id="4" name="Chart -1021"/>
        <xdr:cNvGraphicFramePr/>
      </xdr:nvGraphicFramePr>
      <xdr:xfrm>
        <a:off x="5905500" y="7686675"/>
        <a:ext cx="61150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76200</xdr:colOff>
      <xdr:row>0</xdr:row>
      <xdr:rowOff>76200</xdr:rowOff>
    </xdr:from>
    <xdr:to>
      <xdr:col>28</xdr:col>
      <xdr:colOff>76200</xdr:colOff>
      <xdr:row>27</xdr:row>
      <xdr:rowOff>47625</xdr:rowOff>
    </xdr:to>
    <xdr:graphicFrame>
      <xdr:nvGraphicFramePr>
        <xdr:cNvPr id="5" name="Chart -1023"/>
        <xdr:cNvGraphicFramePr/>
      </xdr:nvGraphicFramePr>
      <xdr:xfrm>
        <a:off x="17630775" y="76200"/>
        <a:ext cx="6705600" cy="4086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76200</xdr:colOff>
      <xdr:row>27</xdr:row>
      <xdr:rowOff>47625</xdr:rowOff>
    </xdr:from>
    <xdr:to>
      <xdr:col>28</xdr:col>
      <xdr:colOff>76200</xdr:colOff>
      <xdr:row>54</xdr:row>
      <xdr:rowOff>28575</xdr:rowOff>
    </xdr:to>
    <xdr:graphicFrame>
      <xdr:nvGraphicFramePr>
        <xdr:cNvPr id="6" name="Chart -1022"/>
        <xdr:cNvGraphicFramePr/>
      </xdr:nvGraphicFramePr>
      <xdr:xfrm>
        <a:off x="17630775" y="4162425"/>
        <a:ext cx="6705600" cy="4095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76200</xdr:colOff>
      <xdr:row>54</xdr:row>
      <xdr:rowOff>38100</xdr:rowOff>
    </xdr:from>
    <xdr:to>
      <xdr:col>28</xdr:col>
      <xdr:colOff>76200</xdr:colOff>
      <xdr:row>81</xdr:row>
      <xdr:rowOff>9525</xdr:rowOff>
    </xdr:to>
    <xdr:graphicFrame>
      <xdr:nvGraphicFramePr>
        <xdr:cNvPr id="7" name="Chart -1021"/>
        <xdr:cNvGraphicFramePr/>
      </xdr:nvGraphicFramePr>
      <xdr:xfrm>
        <a:off x="17630775" y="8267700"/>
        <a:ext cx="6705600" cy="4105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terlloyd@orcon.net.n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U45"/>
  <sheetViews>
    <sheetView zoomScale="75" zoomScaleNormal="75" zoomScalePageLayoutView="0" workbookViewId="0" topLeftCell="A1">
      <selection activeCell="B1" sqref="B1"/>
    </sheetView>
  </sheetViews>
  <sheetFormatPr defaultColWidth="10.75390625" defaultRowHeight="12.75"/>
  <cols>
    <col min="1" max="1" width="54.125" style="24" customWidth="1"/>
    <col min="2" max="2" width="17.875" style="21" bestFit="1" customWidth="1"/>
    <col min="3" max="3" width="25.00390625" style="19" customWidth="1"/>
    <col min="4" max="34" width="10.75390625" style="19" customWidth="1"/>
    <col min="35" max="35" width="14.00390625" style="19" bestFit="1" customWidth="1"/>
    <col min="36" max="16384" width="10.75390625" style="19" customWidth="1"/>
  </cols>
  <sheetData>
    <row r="1" spans="1:73" s="13" customFormat="1" ht="21.75">
      <c r="A1" s="125" t="s">
        <v>16</v>
      </c>
      <c r="B1" s="126"/>
      <c r="C1" s="1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</row>
    <row r="2" spans="1:73" s="14" customFormat="1" ht="21.75">
      <c r="A2" s="127" t="s">
        <v>17</v>
      </c>
      <c r="B2" s="128"/>
      <c r="C2" s="1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</row>
    <row r="3" spans="1:73" s="14" customFormat="1" ht="21.75">
      <c r="A3" s="127" t="s">
        <v>65</v>
      </c>
      <c r="B3" s="144">
        <v>38633</v>
      </c>
      <c r="C3" s="1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26"/>
      <c r="BP3" s="26"/>
      <c r="BQ3" s="26"/>
      <c r="BR3" s="26"/>
      <c r="BS3" s="26"/>
      <c r="BT3" s="26"/>
      <c r="BU3" s="26"/>
    </row>
    <row r="4" spans="1:73" s="15" customFormat="1" ht="21.75">
      <c r="A4" s="130" t="s">
        <v>191</v>
      </c>
      <c r="B4" s="131">
        <v>157</v>
      </c>
      <c r="C4" s="131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</row>
    <row r="5" spans="1:73" s="15" customFormat="1" ht="21.75">
      <c r="A5" s="130" t="s">
        <v>29</v>
      </c>
      <c r="B5" s="131">
        <v>3.44</v>
      </c>
      <c r="C5" s="131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</row>
    <row r="6" spans="1:73" s="15" customFormat="1" ht="21.75">
      <c r="A6" s="130" t="s">
        <v>25</v>
      </c>
      <c r="B6" s="131">
        <v>2</v>
      </c>
      <c r="C6" s="132" t="s">
        <v>37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</row>
    <row r="7" spans="1:73" s="15" customFormat="1" ht="21.75">
      <c r="A7" s="130" t="s">
        <v>164</v>
      </c>
      <c r="B7" s="131">
        <v>0.7</v>
      </c>
      <c r="C7" s="131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</row>
    <row r="8" spans="1:73" s="15" customFormat="1" ht="21.75">
      <c r="A8" s="130" t="s">
        <v>165</v>
      </c>
      <c r="B8" s="131">
        <v>117</v>
      </c>
      <c r="C8" s="131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</row>
    <row r="9" spans="1:3" ht="17.25">
      <c r="A9" s="130" t="s">
        <v>119</v>
      </c>
      <c r="B9" s="129">
        <v>0.9</v>
      </c>
      <c r="C9" s="133"/>
    </row>
    <row r="10" spans="1:3" ht="17.25">
      <c r="A10" s="130" t="s">
        <v>121</v>
      </c>
      <c r="B10" s="131">
        <v>0.75</v>
      </c>
      <c r="C10" s="133"/>
    </row>
    <row r="11" spans="1:73" s="14" customFormat="1" ht="21.75">
      <c r="A11" s="127" t="s">
        <v>114</v>
      </c>
      <c r="B11" s="129">
        <v>16</v>
      </c>
      <c r="C11" s="1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</row>
    <row r="12" spans="1:73" s="16" customFormat="1" ht="21.75">
      <c r="A12" s="127" t="s">
        <v>166</v>
      </c>
      <c r="B12" s="134">
        <v>50</v>
      </c>
      <c r="C12" s="135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</row>
    <row r="13" spans="1:73" s="17" customFormat="1" ht="21.75">
      <c r="A13" s="130" t="s">
        <v>115</v>
      </c>
      <c r="B13" s="136">
        <v>2.9</v>
      </c>
      <c r="C13" s="136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3" ht="17.25">
      <c r="A14" s="137" t="s">
        <v>236</v>
      </c>
      <c r="B14" s="138">
        <v>0.3</v>
      </c>
      <c r="C14" s="132" t="s">
        <v>71</v>
      </c>
    </row>
    <row r="15" spans="1:3" ht="17.25">
      <c r="A15" s="127" t="s">
        <v>133</v>
      </c>
      <c r="B15" s="139">
        <v>24</v>
      </c>
      <c r="C15" s="133"/>
    </row>
    <row r="16" spans="1:3" ht="17.25">
      <c r="A16" s="127" t="s">
        <v>184</v>
      </c>
      <c r="B16" s="139"/>
      <c r="C16" s="133"/>
    </row>
    <row r="17" spans="1:73" s="57" customFormat="1" ht="22.5" customHeight="1">
      <c r="A17" s="127" t="s">
        <v>123</v>
      </c>
      <c r="B17" s="129"/>
      <c r="C17" s="1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</row>
    <row r="18" spans="1:73" s="14" customFormat="1" ht="22.5" customHeight="1">
      <c r="A18" s="127" t="s">
        <v>122</v>
      </c>
      <c r="B18" s="129" t="s">
        <v>101</v>
      </c>
      <c r="C18" s="129" t="s">
        <v>20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</row>
    <row r="19" spans="1:73" s="18" customFormat="1" ht="21.75">
      <c r="A19" s="127" t="s">
        <v>228</v>
      </c>
      <c r="B19" s="129">
        <v>37</v>
      </c>
      <c r="C19" s="140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</row>
    <row r="20" spans="1:73" s="15" customFormat="1" ht="21.75">
      <c r="A20" s="127" t="s">
        <v>231</v>
      </c>
      <c r="B20" s="129"/>
      <c r="C20" s="131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</row>
    <row r="21" spans="1:73" ht="21.75">
      <c r="A21" s="141" t="s">
        <v>15</v>
      </c>
      <c r="B21" s="140">
        <v>7.5</v>
      </c>
      <c r="C21" s="140">
        <v>7.36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</row>
    <row r="22" spans="1:73" s="20" customFormat="1" ht="21.75">
      <c r="A22" s="130" t="s">
        <v>18</v>
      </c>
      <c r="B22" s="129">
        <v>4.9</v>
      </c>
      <c r="C22" s="129">
        <v>6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s="20" customFormat="1" ht="21.75">
      <c r="A23" s="127" t="s">
        <v>116</v>
      </c>
      <c r="B23" s="142"/>
      <c r="C23" s="142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</row>
    <row r="24" spans="1:73" ht="17.25">
      <c r="A24" s="127" t="s">
        <v>185</v>
      </c>
      <c r="B24" s="142">
        <v>28</v>
      </c>
      <c r="C24" s="142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</row>
    <row r="25" spans="1:26" ht="17.25">
      <c r="A25" s="127" t="s">
        <v>32</v>
      </c>
      <c r="B25" s="142">
        <v>5</v>
      </c>
      <c r="C25" s="142">
        <v>0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7.25">
      <c r="A26" s="137" t="s">
        <v>33</v>
      </c>
      <c r="B26" s="142">
        <v>21</v>
      </c>
      <c r="C26" s="142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3" ht="17.25">
      <c r="A27" s="137" t="s">
        <v>35</v>
      </c>
      <c r="B27" s="138">
        <v>9.4</v>
      </c>
      <c r="C27" s="138">
        <v>5.3</v>
      </c>
    </row>
    <row r="28" spans="1:3" ht="17.25">
      <c r="A28" s="137" t="s">
        <v>34</v>
      </c>
      <c r="B28" s="139"/>
      <c r="C28" s="139"/>
    </row>
    <row r="29" spans="1:3" ht="17.25">
      <c r="A29" s="137" t="s">
        <v>90</v>
      </c>
      <c r="B29" s="142">
        <v>98</v>
      </c>
      <c r="C29" s="133"/>
    </row>
    <row r="30" spans="1:3" ht="17.25">
      <c r="A30" s="137" t="s">
        <v>52</v>
      </c>
      <c r="B30" s="131">
        <v>24</v>
      </c>
      <c r="C30" s="133"/>
    </row>
    <row r="31" spans="1:3" ht="17.25">
      <c r="A31" s="137" t="s">
        <v>53</v>
      </c>
      <c r="B31" s="143">
        <v>0.221</v>
      </c>
      <c r="C31" s="133"/>
    </row>
    <row r="32" spans="1:3" ht="17.25">
      <c r="A32" s="137" t="s">
        <v>189</v>
      </c>
      <c r="B32" s="131">
        <v>6.8</v>
      </c>
      <c r="C32" s="133"/>
    </row>
    <row r="33" spans="1:3" ht="17.25">
      <c r="A33" s="137" t="s">
        <v>190</v>
      </c>
      <c r="B33" s="143">
        <v>0</v>
      </c>
      <c r="C33" s="133"/>
    </row>
    <row r="36" spans="1:26" ht="17.25">
      <c r="A36" s="62" t="s">
        <v>31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7.25">
      <c r="A37" s="62" t="s">
        <v>142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13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7.25">
      <c r="A38" s="62" t="s">
        <v>177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21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7.25">
      <c r="A39" s="62" t="s">
        <v>143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21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12" s="20" customFormat="1" ht="21.75">
      <c r="A40" s="25"/>
      <c r="B40" s="32"/>
      <c r="L40" s="21"/>
    </row>
    <row r="41" spans="3:12" ht="12">
      <c r="C41" s="20"/>
      <c r="D41" s="20"/>
      <c r="L41" s="21"/>
    </row>
    <row r="42" spans="3:12" s="23" customFormat="1" ht="12">
      <c r="C42" s="22"/>
      <c r="D42" s="22"/>
      <c r="E42" s="22"/>
      <c r="F42" s="22"/>
      <c r="G42" s="22"/>
      <c r="L42" s="21"/>
    </row>
    <row r="43" spans="1:4" ht="21.75">
      <c r="A43" s="25"/>
      <c r="B43" s="37"/>
      <c r="C43" s="20"/>
      <c r="D43" s="20"/>
    </row>
    <row r="44" spans="1:4" ht="21.75">
      <c r="A44" s="25"/>
      <c r="B44" s="33"/>
      <c r="C44" s="20"/>
      <c r="D44" s="20"/>
    </row>
    <row r="45" spans="1:4" ht="12">
      <c r="A45" s="25"/>
      <c r="B45" s="20"/>
      <c r="C45" s="20"/>
      <c r="D45" s="20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tabSelected="1" zoomScalePageLayoutView="0" workbookViewId="0" topLeftCell="A1">
      <selection activeCell="A2" sqref="A2"/>
    </sheetView>
  </sheetViews>
  <sheetFormatPr defaultColWidth="10.75390625" defaultRowHeight="12.75"/>
  <cols>
    <col min="1" max="1" width="19.375" style="12" bestFit="1" customWidth="1"/>
    <col min="2" max="2" width="10.75390625" style="12" customWidth="1"/>
    <col min="3" max="3" width="0.74609375" style="12" customWidth="1"/>
    <col min="4" max="4" width="3.25390625" style="12" customWidth="1"/>
    <col min="5" max="5" width="45.25390625" style="12" customWidth="1"/>
    <col min="6" max="6" width="9.625" style="12" customWidth="1"/>
    <col min="7" max="7" width="15.75390625" style="12" customWidth="1"/>
    <col min="8" max="8" width="9.625" style="12" customWidth="1"/>
    <col min="9" max="9" width="5.375" style="12" customWidth="1"/>
    <col min="10" max="10" width="3.25390625" style="12" customWidth="1"/>
    <col min="11" max="11" width="38.125" style="12" customWidth="1"/>
    <col min="12" max="16384" width="10.75390625" style="12" customWidth="1"/>
  </cols>
  <sheetData>
    <row r="1" s="74" customFormat="1" ht="9.75" customHeight="1"/>
    <row r="2" spans="5:13" ht="22.5" customHeight="1">
      <c r="E2" s="85" t="str">
        <f>ROUND('Calculation (2)'!B54,0)&amp;" mEq/L ("&amp;ROUND('Calculation (2)'!B67,0)&amp;")"</f>
        <v>43 mEq/L (-8)</v>
      </c>
      <c r="L2" s="100"/>
      <c r="M2" s="100"/>
    </row>
    <row r="3" spans="1:13" ht="13.5" customHeight="1">
      <c r="A3" s="71" t="s">
        <v>136</v>
      </c>
      <c r="B3" s="87">
        <f>IF('Enter Values'!B3="","",'Enter Values'!B3)</f>
        <v>38633</v>
      </c>
      <c r="C3" s="75"/>
      <c r="D3" s="75"/>
      <c r="E3" s="75"/>
      <c r="L3" s="69" t="s">
        <v>41</v>
      </c>
      <c r="M3" s="78">
        <f>'Calculation (2)'!B5</f>
        <v>157</v>
      </c>
    </row>
    <row r="4" spans="1:13" ht="15.75" customHeight="1">
      <c r="A4" s="71" t="s">
        <v>94</v>
      </c>
      <c r="B4" s="92">
        <f>IF('Enter Values'!B1="","",'Enter Values'!B1)</f>
      </c>
      <c r="F4" s="72" t="s">
        <v>194</v>
      </c>
      <c r="G4" s="73" t="s">
        <v>57</v>
      </c>
      <c r="L4" s="70" t="s">
        <v>195</v>
      </c>
      <c r="M4" s="78">
        <f>'Calculation (2)'!B6</f>
        <v>3.44</v>
      </c>
    </row>
    <row r="5" spans="1:13" ht="12">
      <c r="A5" s="71" t="s">
        <v>95</v>
      </c>
      <c r="B5" s="78">
        <f>IF('Enter Values'!B2="","",'Enter Values'!B2)</f>
      </c>
      <c r="F5" s="69" t="s">
        <v>41</v>
      </c>
      <c r="G5" s="86" t="str">
        <f>"+"&amp;ROUND('Enter Values'!B4,0)</f>
        <v>+157</v>
      </c>
      <c r="L5" s="70" t="s">
        <v>196</v>
      </c>
      <c r="M5" s="78">
        <f>'Calculation (2)'!B7</f>
        <v>2</v>
      </c>
    </row>
    <row r="6" spans="6:13" ht="12.75">
      <c r="F6" s="70" t="s">
        <v>195</v>
      </c>
      <c r="G6" s="87" t="str">
        <f>"+"&amp;ROUND('Enter Values'!B5,1)</f>
        <v>+3,4</v>
      </c>
      <c r="J6" s="90"/>
      <c r="K6" s="74"/>
      <c r="L6" s="70" t="s">
        <v>197</v>
      </c>
      <c r="M6" s="78">
        <f>'Calculation (2)'!B8</f>
        <v>0.7</v>
      </c>
    </row>
    <row r="7" spans="6:13" ht="12.75">
      <c r="F7" s="70" t="s">
        <v>196</v>
      </c>
      <c r="G7" s="88" t="str">
        <f>IF('Enter Values'!B6="","","+"&amp;ROUND(3*'Enter Values'!B6,1)&amp;" ("&amp;ROUND('Enter Values'!B6,1)&amp;" mmol/L)")</f>
        <v>+6 (2 mmol/L)</v>
      </c>
      <c r="L7" s="70" t="s">
        <v>198</v>
      </c>
      <c r="M7" s="78">
        <f>'Calculation (2)'!B9</f>
        <v>117</v>
      </c>
    </row>
    <row r="8" spans="1:13" ht="12.75">
      <c r="A8" s="71" t="s">
        <v>182</v>
      </c>
      <c r="B8" s="89" t="str">
        <f>IF('Enter Values'!B15="",IF('Enter Values'!B16="","not stated",ROUND('Calculation (2)'!B77,0)&amp;" metres"),ROUND('Calculation (2)'!B77,0)&amp;" metres")</f>
        <v>24 metres</v>
      </c>
      <c r="F8" s="70" t="s">
        <v>197</v>
      </c>
      <c r="G8" s="87" t="str">
        <f>IF('Enter Values'!B7="","","+"&amp;ROUND(3*'Enter Values'!B7,1)&amp;" ("&amp;ROUND('Enter Values'!B7,1)&amp;" mmol/L)")</f>
        <v>+2,1 (0,7 mmol/L)</v>
      </c>
      <c r="L8" s="70" t="s">
        <v>23</v>
      </c>
      <c r="M8" s="78">
        <f>'Calculation (2)'!B10</f>
        <v>0.9</v>
      </c>
    </row>
    <row r="9" spans="1:13" ht="12.75">
      <c r="A9" s="71" t="s">
        <v>183</v>
      </c>
      <c r="B9" s="78" t="str">
        <f>IF('Calculation (2)'!B77="","101 kPa assumed",ROUND('Calculation (2)'!B78,0)&amp;" kPa")</f>
        <v>101 kPa</v>
      </c>
      <c r="F9" s="70" t="s">
        <v>198</v>
      </c>
      <c r="G9" s="87" t="str">
        <f>IF('Enter Values'!B8="","","-"&amp;ROUND('Enter Values'!B8,0))</f>
        <v>-117</v>
      </c>
      <c r="L9" s="71" t="s">
        <v>192</v>
      </c>
      <c r="M9" s="106">
        <f>'Calculation (2)'!B53</f>
        <v>2.1083072</v>
      </c>
    </row>
    <row r="10" spans="1:13" ht="12">
      <c r="A10" s="71" t="s">
        <v>230</v>
      </c>
      <c r="B10" s="78" t="str">
        <f>IF('Enter Values'!B19="",IF('Enter Values'!B20="","",ROUND('Calculation (2)'!B117,1)&amp;"ºC"),ROUND('Calculation (2)'!B117,1)&amp;"ºC")</f>
        <v>37ºC</v>
      </c>
      <c r="F10" s="70" t="s">
        <v>23</v>
      </c>
      <c r="G10" s="88" t="str">
        <f>IF('Enter Values'!B9="","","-"&amp;ROUND('Enter Values'!B9,1))</f>
        <v>-0,9</v>
      </c>
      <c r="L10" s="71" t="s">
        <v>193</v>
      </c>
      <c r="M10" s="78">
        <f>'Calculation (2)'!B35</f>
        <v>2.9</v>
      </c>
    </row>
    <row r="11" spans="6:13" ht="12">
      <c r="F11" s="71" t="s">
        <v>192</v>
      </c>
      <c r="G11" s="104" t="str">
        <f>IF('Calculation (2)'!B50=1,"-"&amp;ROUND('Calculation (2)'!B53,1),"")</f>
        <v>-2,1</v>
      </c>
      <c r="L11" s="71" t="s">
        <v>24</v>
      </c>
      <c r="M11" s="105">
        <f>'Calculation (2)'!B10</f>
        <v>0.9</v>
      </c>
    </row>
    <row r="12" spans="6:13" ht="12">
      <c r="F12" s="71" t="s">
        <v>193</v>
      </c>
      <c r="G12" s="89" t="str">
        <f>IF('Enter Values'!B13="","","-"&amp;ROUND('Calculation (2)'!B35,1))</f>
        <v>-2,9</v>
      </c>
      <c r="H12" s="71" t="s">
        <v>5</v>
      </c>
      <c r="I12" s="78" t="str">
        <f>IF('Enter Values'!B29="","",ROUND('Enter Values'!B29,1)&amp;" g/L)")</f>
        <v>98 g/L)</v>
      </c>
      <c r="L12" s="71" t="s">
        <v>170</v>
      </c>
      <c r="M12" s="78">
        <f>'Calculation (2)'!B33</f>
        <v>16</v>
      </c>
    </row>
    <row r="13" spans="1:13" ht="12.75">
      <c r="A13" s="71">
        <f>IF('Enter Values'!B26="","",IF('Calculation (2)'!B271=1,"",IF('Enter Values'!B18="Arterial","Temp ºC","")))</f>
      </c>
      <c r="B13" s="109">
        <f>IF('Enter Values'!B26="","",IF('Calculation (2)'!B271=1,"",IF('Enter Values'!B18="Arterial","Qs/Qt %","")))</f>
      </c>
      <c r="D13" s="123"/>
      <c r="F13" s="71" t="s">
        <v>24</v>
      </c>
      <c r="G13" s="75" t="str">
        <f>IF('Enter Values'!B10="","","-"&amp;ROUND(3*'Enter Values'!B10,1)&amp;" ("&amp;ROUND('Enter Values'!B10,1)&amp;" mmol/L)")</f>
        <v>-2,3 (0,8 mmol/L)</v>
      </c>
      <c r="H13" s="71" t="s">
        <v>55</v>
      </c>
      <c r="I13" s="78" t="str">
        <f>IF('Enter Values'!B30="","",ROUND('Enter Values'!B30,1)&amp;" mmol/L)")</f>
        <v>24 mmol/L)</v>
      </c>
      <c r="L13" s="71" t="s">
        <v>171</v>
      </c>
      <c r="M13" s="78">
        <f>'Calculation (2)'!B34-'Calculation (2)'!B33</f>
        <v>34</v>
      </c>
    </row>
    <row r="14" spans="1:13" ht="12.75">
      <c r="A14" s="71">
        <f>IF('Enter Values'!B26="","",IF('Calculation (2)'!B271=1,"",IF('Enter Values'!B18="Arterial","35   ","")))</f>
      </c>
      <c r="B14" s="75">
        <f>IF('Enter Values'!B26="","",IF('Calculation (2)'!B271=1,"",IF('Enter Values'!B18="Arterial",ROUND('Calculation (2)'!B267,0),"")))</f>
      </c>
      <c r="H14" s="71" t="s">
        <v>56</v>
      </c>
      <c r="I14" s="78" t="str">
        <f>IF('Enter Values'!B31="","",ROUND('Enter Values'!B31,2)&amp;" mmol/L)")</f>
        <v>0,22 mmol/L)</v>
      </c>
      <c r="L14" s="71" t="s">
        <v>172</v>
      </c>
      <c r="M14" s="78">
        <f>'Calculation (2)'!B34</f>
        <v>50</v>
      </c>
    </row>
    <row r="15" spans="1:13" ht="12.75">
      <c r="A15" s="71">
        <f>IF('Enter Values'!B26="","",IF('Calculation (2)'!B271=1,"",IF('Enter Values'!B18="Arterial","37   ","")))</f>
      </c>
      <c r="B15" s="89">
        <f>IF('Enter Values'!B26="","",IF('Calculation (2)'!B271=1,"",IF('Enter Values'!B18="Arterial",ROUND('Calculation (2)'!B268,0),"")))</f>
      </c>
      <c r="H15" s="71" t="s">
        <v>107</v>
      </c>
      <c r="I15" s="78" t="str">
        <f>IF('Enter Values'!B32="","",ROUND(M29,1)&amp;" mmol/L)")</f>
        <v>6,8 mmol/L)</v>
      </c>
      <c r="L15" s="76" t="s">
        <v>112</v>
      </c>
      <c r="M15" s="78">
        <f>'Calculation (2)'!B35</f>
        <v>2.9</v>
      </c>
    </row>
    <row r="16" spans="1:13" ht="12.75">
      <c r="A16" s="71">
        <f>IF('Enter Values'!B26="","",IF('Calculation (2)'!B271=1,"",IF('Enter Values'!B18="Arterial","39   ","")))</f>
      </c>
      <c r="B16" s="75">
        <f>IF('Enter Values'!B26="","",IF('Calculation (2)'!B271=1,"",IF('Enter Values'!B18="Arterial",ROUND('Calculation (2)'!B269,0),"")))</f>
      </c>
      <c r="C16" s="111"/>
      <c r="D16" s="111"/>
      <c r="H16" s="71" t="s">
        <v>108</v>
      </c>
      <c r="I16" s="105" t="str">
        <f>IF('Enter Values'!B33="","",ROUND(M30,2)&amp;" µg/L)")</f>
        <v>0 µg/L)</v>
      </c>
      <c r="L16" s="76" t="s">
        <v>54</v>
      </c>
      <c r="M16" s="78">
        <f>'Calculation (2)'!B36</f>
        <v>0.3</v>
      </c>
    </row>
    <row r="17" spans="1:13" ht="12.75">
      <c r="A17" s="71">
        <f>IF('Enter Values'!B26="","",IF('Calculation (2)'!B271=1,"",IF('Enter Values'!B18="Arterial","41   ","")))</f>
      </c>
      <c r="B17" s="75">
        <f>IF('Enter Values'!B26="","",IF('Calculation (2)'!B271=1,"",IF('Enter Values'!B18="Arterial",ROUND('Calculation (2)'!B270,0),"")))</f>
      </c>
      <c r="C17" s="111"/>
      <c r="D17" s="111"/>
      <c r="L17" s="71" t="s">
        <v>15</v>
      </c>
      <c r="M17" s="78">
        <f>'Enter Values'!B21</f>
        <v>7.5</v>
      </c>
    </row>
    <row r="18" spans="12:13" ht="12">
      <c r="L18" s="71" t="s">
        <v>67</v>
      </c>
      <c r="M18" s="106">
        <f>'Calculation (2)'!B66</f>
        <v>-2</v>
      </c>
    </row>
    <row r="19" spans="7:13" ht="12.75">
      <c r="G19" s="71" t="s">
        <v>170</v>
      </c>
      <c r="H19" s="75" t="str">
        <f>IF('Enter Values'!B11="","",ROUND('Enter Values'!B11,0)&amp;" g/L")</f>
        <v>16 g/L</v>
      </c>
      <c r="L19" s="71" t="s">
        <v>63</v>
      </c>
      <c r="M19" s="78">
        <f>'Calculation (2)'!B83</f>
        <v>4.659959935731136</v>
      </c>
    </row>
    <row r="20" spans="7:13" ht="12.75">
      <c r="G20" s="71" t="s">
        <v>171</v>
      </c>
      <c r="H20" s="75" t="str">
        <f>IF('Enter Values'!B12="","",IF('Enter Values'!B11="","",ROUND('Enter Values'!B12-'Enter Values'!B11,0)&amp;" g/L"))</f>
        <v>34 g/L</v>
      </c>
      <c r="L20" s="103" t="s">
        <v>235</v>
      </c>
      <c r="M20" s="106">
        <f>'Calculation (2)'!B67</f>
        <v>-8</v>
      </c>
    </row>
    <row r="21" spans="7:13" ht="12.75">
      <c r="G21" s="71" t="s">
        <v>172</v>
      </c>
      <c r="H21" s="75" t="str">
        <f>IF('Enter Values'!B12="","",ROUND('Enter Values'!B12,0)&amp;" g/L")</f>
        <v>50 g/L</v>
      </c>
      <c r="L21" s="103" t="s">
        <v>238</v>
      </c>
      <c r="M21" s="106">
        <f>'Calculation (2)'!B68</f>
        <v>-3</v>
      </c>
    </row>
    <row r="22" spans="1:13" ht="12.75">
      <c r="A22" s="145" t="str">
        <f>IF('Calculation (2)'!B265=1,"                     "&amp;'Calculation (2)'!C72,"")</f>
        <v>                     Central venous</v>
      </c>
      <c r="B22" s="146"/>
      <c r="G22" s="76" t="s">
        <v>112</v>
      </c>
      <c r="H22" s="77" t="str">
        <f>IF('Enter Values'!B13="","",ROUND('Enter Values'!B13,1)&amp;" mmol/L")</f>
        <v>2,9 mmol/L</v>
      </c>
      <c r="L22" s="103" t="s">
        <v>234</v>
      </c>
      <c r="M22" s="106">
        <f>'Calculation (2)'!B57</f>
        <v>31.622776601683803</v>
      </c>
    </row>
    <row r="23" spans="1:13" ht="12.75">
      <c r="A23" s="71" t="str">
        <f>IF('Calculation (2)'!B265=1,"Acidity","")</f>
        <v>Acidity</v>
      </c>
      <c r="B23" s="124" t="str">
        <f>IF('Calculation (2)'!B265=1,ROUND(10^(9-'Calculation (2)'!C18),0)&amp;" nmol/L","")</f>
        <v>44 nmol/L</v>
      </c>
      <c r="C23" s="123"/>
      <c r="D23" s="123"/>
      <c r="G23" s="76" t="s">
        <v>54</v>
      </c>
      <c r="H23" s="78" t="str">
        <f>IF('Enter Values'!B14="","",ROUND('Enter Values'!B14,1)&amp;" mmol/L")</f>
        <v>0,3 mmol/L</v>
      </c>
      <c r="L23" s="103" t="s">
        <v>144</v>
      </c>
      <c r="M23" s="105">
        <f>'Calculation (2)'!B62</f>
        <v>-5.534670191189285</v>
      </c>
    </row>
    <row r="24" spans="1:13" ht="12.75">
      <c r="A24" s="71" t="str">
        <f>IF('Calculation (2)'!B265=1,"PO2","")</f>
        <v>PO2</v>
      </c>
      <c r="B24" s="124" t="str">
        <f>IF('Calculation (2)'!B265=1,'Calculation (2)'!C86&amp;" kPa","")</f>
        <v>5,3 kPa</v>
      </c>
      <c r="C24" s="123"/>
      <c r="D24" s="123"/>
      <c r="L24" s="103" t="s">
        <v>55</v>
      </c>
      <c r="M24" s="78">
        <f>IF('Enter Values'!B30="","",'Enter Values'!B30)</f>
        <v>24</v>
      </c>
    </row>
    <row r="25" spans="12:13" ht="12.75">
      <c r="L25" s="103" t="s">
        <v>56</v>
      </c>
      <c r="M25" s="78">
        <f>IF('Enter Values'!B31="","",'Enter Values'!B31)</f>
        <v>0.221</v>
      </c>
    </row>
    <row r="26" spans="1:13" ht="48.75" customHeight="1">
      <c r="A26" s="80"/>
      <c r="B26" s="81" t="str">
        <f>ROUND('Calculation (2)'!B19,1)&amp;" kPa"&amp;" ("&amp;ROUND('Calculation (2)'!B66,0)&amp;")"</f>
        <v>4,9 kPa (-2)</v>
      </c>
      <c r="E26" s="82" t="s">
        <v>69</v>
      </c>
      <c r="G26" s="151" t="str">
        <f>IF('Calculation (2)'!B49=1,ROUND('Calculation (2)'!B55,0)&amp;" mmol/L"&amp;" ("&amp;ROUND('Calculation (2)'!B68,0)&amp;")",ROUND('Calculation (2)'!B55,0)&amp;" mmol/L"&amp;" ("&amp;ROUND('Calculation (2)'!B68,0)&amp;") (INCOMPLETE DATA)")</f>
        <v>14 mmol/L (-3)</v>
      </c>
      <c r="H26" s="152"/>
      <c r="I26" s="152"/>
      <c r="J26" s="152"/>
      <c r="L26" s="103" t="s">
        <v>113</v>
      </c>
      <c r="M26" s="105">
        <f>'Calculation (2)'!B19</f>
        <v>4.9</v>
      </c>
    </row>
    <row r="27" spans="1:13" ht="12">
      <c r="A27" s="71" t="s">
        <v>15</v>
      </c>
      <c r="B27" s="79">
        <f>'Enter Values'!B21</f>
        <v>7.5</v>
      </c>
      <c r="E27" s="83" t="str">
        <f>ROUND('Calculation (2)'!B57,0)&amp;" nmol/L"</f>
        <v>32 nmol/L</v>
      </c>
      <c r="L27" s="103" t="s">
        <v>135</v>
      </c>
      <c r="M27" s="105">
        <f>IF('Calculation (2)'!B72="Arterial",'Calculation (2)'!B81,"")</f>
        <v>9.4</v>
      </c>
    </row>
    <row r="28" spans="1:13" ht="12">
      <c r="A28" s="71" t="s">
        <v>113</v>
      </c>
      <c r="B28" s="75" t="str">
        <f>ROUND('Calculation (2)'!B19,1)&amp;" kPa"</f>
        <v>4,9 kPa</v>
      </c>
      <c r="E28" s="82" t="s">
        <v>72</v>
      </c>
      <c r="L28" s="103" t="s">
        <v>109</v>
      </c>
      <c r="M28" s="105">
        <f>'Calculation (2)'!B53</f>
        <v>2.1083072</v>
      </c>
    </row>
    <row r="29" spans="1:13" ht="12">
      <c r="A29" s="76" t="s">
        <v>169</v>
      </c>
      <c r="B29" s="77" t="str">
        <f>ROUND('Calculation (2)'!B58,0)&amp;" mEq/L"</f>
        <v>27 mEq/L</v>
      </c>
      <c r="E29" s="84" t="str">
        <f>ROUND('Calculation (2)'!B64,0)&amp;" nmol/L"</f>
        <v>26 nmol/L</v>
      </c>
      <c r="G29" s="100" t="s">
        <v>89</v>
      </c>
      <c r="L29" s="103" t="s">
        <v>110</v>
      </c>
      <c r="M29" s="78">
        <f>'Enter Values'!B32</f>
        <v>6.8</v>
      </c>
    </row>
    <row r="30" spans="1:13" ht="12">
      <c r="A30" s="71" t="s">
        <v>70</v>
      </c>
      <c r="B30" s="75" t="str">
        <f>IF('Enter Values'!B26="","",ROUND('Enter Values'!B26,0)&amp;"%")</f>
        <v>21%</v>
      </c>
      <c r="E30" s="82" t="s">
        <v>146</v>
      </c>
      <c r="G30" s="100" t="s">
        <v>173</v>
      </c>
      <c r="L30" s="103" t="s">
        <v>111</v>
      </c>
      <c r="M30" s="105">
        <f>'Enter Values'!B33</f>
        <v>0</v>
      </c>
    </row>
    <row r="31" spans="1:13" ht="12">
      <c r="A31" s="71" t="s">
        <v>36</v>
      </c>
      <c r="B31" s="102" t="str">
        <f>'Calculation (2)'!B86&amp;" kPa ("&amp;'Calculation (2)'!B72&amp;")"</f>
        <v>9,4 kPa (Arterial)</v>
      </c>
      <c r="E31" s="82" t="str">
        <f>IF('Calculation (2)'!B43=1,ROUND('Calculation (2)'!B62,0)&amp;" mEq/L","")</f>
        <v>-6 mEq/L</v>
      </c>
      <c r="G31" s="154" t="s">
        <v>174</v>
      </c>
      <c r="H31" s="155"/>
      <c r="L31" s="103" t="s">
        <v>6</v>
      </c>
      <c r="M31" s="106">
        <f>'Calculation (2)'!B118</f>
        <v>98</v>
      </c>
    </row>
    <row r="32" spans="1:13" ht="21.75">
      <c r="A32" s="71" t="str">
        <f>IF('Calculation (2)'!B116=0,"A-a gradient *","A-a gradient | Qs/Qt *")</f>
        <v>A-a gradient | Qs/Qt *</v>
      </c>
      <c r="B32" s="75" t="str">
        <f>IF('Enter Values'!B26="","",IF('Enter Values'!B18="Arterial",IF('Calculation (2)'!B271=1,'Calculation (2)'!B87&amp;" kPa | "&amp;ROUND('Calculation (2)'!B266,0)&amp;" %",'Calculation (2)'!B87&amp;" kPa"),""))</f>
        <v>4,7 kPa | 14 %</v>
      </c>
      <c r="E32" s="85"/>
      <c r="G32" s="99"/>
      <c r="H32" s="99"/>
      <c r="L32" s="103" t="s">
        <v>8</v>
      </c>
      <c r="M32" s="108">
        <f>'Calculation (2)'!B120</f>
        <v>9.908674898633556</v>
      </c>
    </row>
    <row r="33" spans="1:13" ht="12">
      <c r="A33" s="71" t="s">
        <v>7</v>
      </c>
      <c r="B33" s="75" t="str">
        <f>IF('Enter Values'!B25="","",ROUND('Enter Values'!B25,0))&amp;" | "&amp;ROUND('Calculation (2)'!B85,0)&amp;" mmol/L"</f>
        <v>5 | 16 mmol/L</v>
      </c>
      <c r="E33" s="156"/>
      <c r="F33" s="157"/>
      <c r="G33" s="157"/>
      <c r="H33" s="157"/>
      <c r="I33" s="157"/>
      <c r="J33" s="157"/>
      <c r="L33" s="100"/>
      <c r="M33" s="100"/>
    </row>
    <row r="34" spans="1:13" ht="21.75">
      <c r="A34" s="149" t="str">
        <f>IF('Enter Values'!B29="",IF('Enter Values'!B19="",IF('Enter Values'!B20="","*Assuming respiratory quotient = 0.8","*Assuming respiratory quotient = 0.8 and [Hb] = 120g/L"),"*Assuming respiratory quotient = 0.8 and [Hb] = 120g/L"),"*Assuming respiratory quotient = 0.8")</f>
        <v>*Assuming respiratory quotient = 0.8</v>
      </c>
      <c r="B34" s="150"/>
      <c r="C34" s="112"/>
      <c r="D34" s="112"/>
      <c r="E34" s="85" t="s">
        <v>74</v>
      </c>
      <c r="G34" s="99"/>
      <c r="H34" s="99"/>
      <c r="L34" s="100"/>
      <c r="M34" s="100"/>
    </row>
    <row r="35" ht="111" customHeight="1">
      <c r="E35" s="93" t="str">
        <f>'Calculation (2)'!B71&amp;". "&amp;'Calculation (2)'!B75&amp;". "&amp;'Calculation (2)'!B73&amp;". "&amp;'Calculation (2)'!B74&amp;". "&amp;'Calculation (2)'!B76</f>
        <v>SEVERE ALKALAEMIA. MODERATE RESPIRATORY ALKALOSIS BIASES ACIDITY BY -2 nmol/L. SEVERE MEASURED STRONG ION ALKALOSIS BIASES ACIDITY BY -8 nmol/L. SEVERE MEASURED WEAK ACID ALKALOSIS BIASES ACIDITY BY -3 nmol/L. SMALL CONCENTRATION OF UNMEASURED ANIONS INDICATES MILD UNMEASURED COMPONENT OF METABOLIC ACIDOSIS</v>
      </c>
    </row>
    <row r="36" spans="1:9" ht="12">
      <c r="A36" s="153" t="s">
        <v>188</v>
      </c>
      <c r="B36" s="153"/>
      <c r="C36" s="153"/>
      <c r="D36" s="153"/>
      <c r="E36" s="153"/>
      <c r="F36" s="153"/>
      <c r="G36" s="153"/>
      <c r="H36" s="153"/>
      <c r="I36" s="153"/>
    </row>
    <row r="37" spans="1:9" ht="27.75" customHeight="1">
      <c r="A37" s="153"/>
      <c r="B37" s="153"/>
      <c r="C37" s="153"/>
      <c r="D37" s="153"/>
      <c r="E37" s="153"/>
      <c r="F37" s="153"/>
      <c r="G37" s="153"/>
      <c r="H37" s="153"/>
      <c r="I37" s="153"/>
    </row>
    <row r="38" spans="1:9" ht="39" customHeight="1">
      <c r="A38" s="147" t="s">
        <v>233</v>
      </c>
      <c r="B38" s="148"/>
      <c r="C38" s="148"/>
      <c r="D38" s="148"/>
      <c r="E38" s="148"/>
      <c r="F38" s="148"/>
      <c r="G38" s="148"/>
      <c r="H38" s="148"/>
      <c r="I38" s="148"/>
    </row>
    <row r="39" ht="52.5" customHeight="1"/>
    <row r="40" ht="12">
      <c r="K40" s="74"/>
    </row>
    <row r="47" ht="24.75" customHeight="1"/>
  </sheetData>
  <sheetProtection password="CD47" sheet="1" objects="1" scenarios="1"/>
  <mergeCells count="7">
    <mergeCell ref="A22:B22"/>
    <mergeCell ref="A38:I38"/>
    <mergeCell ref="A34:B34"/>
    <mergeCell ref="G26:J26"/>
    <mergeCell ref="A36:I37"/>
    <mergeCell ref="G31:H31"/>
    <mergeCell ref="E33:J33"/>
  </mergeCells>
  <conditionalFormatting sqref="G10">
    <cfRule type="expression" priority="1" dxfId="47" stopIfTrue="1">
      <formula>$M$8&gt;1.2</formula>
    </cfRule>
  </conditionalFormatting>
  <conditionalFormatting sqref="G13">
    <cfRule type="expression" priority="2" dxfId="47" stopIfTrue="1">
      <formula>$M$11&gt;1</formula>
    </cfRule>
    <cfRule type="expression" priority="3" dxfId="48" stopIfTrue="1">
      <formula>$M$11&lt;0.6</formula>
    </cfRule>
  </conditionalFormatting>
  <conditionalFormatting sqref="H23">
    <cfRule type="expression" priority="4" dxfId="47" stopIfTrue="1">
      <formula>$M$16&gt;0.6</formula>
    </cfRule>
  </conditionalFormatting>
  <conditionalFormatting sqref="G26:J26">
    <cfRule type="expression" priority="5" dxfId="47" stopIfTrue="1">
      <formula>$M$21&gt;2</formula>
    </cfRule>
    <cfRule type="expression" priority="6" dxfId="48" stopIfTrue="1">
      <formula>$M$21&lt;-2</formula>
    </cfRule>
  </conditionalFormatting>
  <conditionalFormatting sqref="E2">
    <cfRule type="expression" priority="7" dxfId="47" stopIfTrue="1">
      <formula>$M$20&gt;5</formula>
    </cfRule>
    <cfRule type="expression" priority="8" dxfId="48" stopIfTrue="1">
      <formula>$M$20&lt;-5</formula>
    </cfRule>
  </conditionalFormatting>
  <conditionalFormatting sqref="B26">
    <cfRule type="expression" priority="9" dxfId="47" stopIfTrue="1">
      <formula>$M$18&gt;5</formula>
    </cfRule>
    <cfRule type="expression" priority="10" dxfId="48" stopIfTrue="1">
      <formula>$M$18&lt;-5</formula>
    </cfRule>
  </conditionalFormatting>
  <conditionalFormatting sqref="B27:E27">
    <cfRule type="expression" priority="11" dxfId="49" stopIfTrue="1">
      <formula>$M$22&gt;42</formula>
    </cfRule>
    <cfRule type="expression" priority="12" dxfId="50" stopIfTrue="1">
      <formula>$M$22&lt;38</formula>
    </cfRule>
  </conditionalFormatting>
  <conditionalFormatting sqref="E31">
    <cfRule type="expression" priority="13" dxfId="48" stopIfTrue="1">
      <formula>$M$23&gt;2</formula>
    </cfRule>
    <cfRule type="expression" priority="14" dxfId="47" stopIfTrue="1">
      <formula>$M$23&lt;-5</formula>
    </cfRule>
  </conditionalFormatting>
  <conditionalFormatting sqref="B31">
    <cfRule type="expression" priority="15" dxfId="49" stopIfTrue="1">
      <formula>$M$27&lt;13</formula>
    </cfRule>
  </conditionalFormatting>
  <conditionalFormatting sqref="G5">
    <cfRule type="expression" priority="16" dxfId="48" stopIfTrue="1">
      <formula>$M$3&gt;146</formula>
    </cfRule>
    <cfRule type="expression" priority="17" dxfId="47" stopIfTrue="1">
      <formula>$M$3&lt;136</formula>
    </cfRule>
  </conditionalFormatting>
  <conditionalFormatting sqref="G6">
    <cfRule type="expression" priority="18" dxfId="48" stopIfTrue="1">
      <formula>$M$4&gt;5</formula>
    </cfRule>
    <cfRule type="expression" priority="19" dxfId="47" stopIfTrue="1">
      <formula>$M$4&lt;3.5</formula>
    </cfRule>
  </conditionalFormatting>
  <conditionalFormatting sqref="G8">
    <cfRule type="expression" priority="20" dxfId="48" stopIfTrue="1">
      <formula>$M$6&gt;1.2</formula>
    </cfRule>
    <cfRule type="expression" priority="21" dxfId="47" stopIfTrue="1">
      <formula>$M$6&lt;0.6</formula>
    </cfRule>
  </conditionalFormatting>
  <conditionalFormatting sqref="G12">
    <cfRule type="expression" priority="22" dxfId="47" stopIfTrue="1">
      <formula>$M$10&gt;1.4</formula>
    </cfRule>
    <cfRule type="expression" priority="23" dxfId="48" stopIfTrue="1">
      <formula>$M$10&lt;0.8</formula>
    </cfRule>
  </conditionalFormatting>
  <conditionalFormatting sqref="I14">
    <cfRule type="expression" priority="24" dxfId="49" stopIfTrue="1">
      <formula>$M$25&gt;0.11</formula>
    </cfRule>
  </conditionalFormatting>
  <conditionalFormatting sqref="H19">
    <cfRule type="expression" priority="25" dxfId="47" stopIfTrue="1">
      <formula>$M$12&gt;50</formula>
    </cfRule>
    <cfRule type="expression" priority="26" dxfId="48" stopIfTrue="1">
      <formula>$M$12&lt;35</formula>
    </cfRule>
  </conditionalFormatting>
  <conditionalFormatting sqref="H21">
    <cfRule type="expression" priority="27" dxfId="47" stopIfTrue="1">
      <formula>$M$14&gt;83</formula>
    </cfRule>
    <cfRule type="expression" priority="28" dxfId="48" stopIfTrue="1">
      <formula>$M$14&lt;64</formula>
    </cfRule>
  </conditionalFormatting>
  <conditionalFormatting sqref="H22">
    <cfRule type="expression" priority="29" dxfId="47" stopIfTrue="1">
      <formula>$M$15&gt;1.4</formula>
    </cfRule>
    <cfRule type="expression" priority="30" dxfId="48" stopIfTrue="1">
      <formula>$M$15&lt;0.8</formula>
    </cfRule>
  </conditionalFormatting>
  <conditionalFormatting sqref="G11">
    <cfRule type="expression" priority="31" dxfId="47" stopIfTrue="1">
      <formula>$M$28&gt;4.41</formula>
    </cfRule>
    <cfRule type="expression" priority="32" dxfId="48" stopIfTrue="1">
      <formula>$M$28&lt;3.3</formula>
    </cfRule>
  </conditionalFormatting>
  <conditionalFormatting sqref="B28">
    <cfRule type="expression" priority="33" dxfId="47" stopIfTrue="1">
      <formula>$M$26&gt;6</formula>
    </cfRule>
    <cfRule type="expression" priority="34" dxfId="48" stopIfTrue="1">
      <formula>$M$26&lt;4.67</formula>
    </cfRule>
  </conditionalFormatting>
  <conditionalFormatting sqref="H20">
    <cfRule type="expression" priority="35" dxfId="47" stopIfTrue="1">
      <formula>$M$13&gt;35</formula>
    </cfRule>
    <cfRule type="expression" priority="36" dxfId="48" stopIfTrue="1">
      <formula>$M$13&lt;29</formula>
    </cfRule>
  </conditionalFormatting>
  <conditionalFormatting sqref="G9">
    <cfRule type="expression" priority="37" dxfId="47" stopIfTrue="1">
      <formula>$M$7&gt;110</formula>
    </cfRule>
    <cfRule type="expression" priority="38" dxfId="48" stopIfTrue="1">
      <formula>$M$7&lt;95</formula>
    </cfRule>
  </conditionalFormatting>
  <conditionalFormatting sqref="I16">
    <cfRule type="expression" priority="39" dxfId="49" stopIfTrue="1">
      <formula>$M$30&gt;0.03</formula>
    </cfRule>
  </conditionalFormatting>
  <conditionalFormatting sqref="I15">
    <cfRule type="expression" priority="40" dxfId="49" stopIfTrue="1">
      <formula>M29&gt;7.8</formula>
    </cfRule>
    <cfRule type="expression" priority="41" dxfId="49" stopIfTrue="1">
      <formula>M29&lt;3.5</formula>
    </cfRule>
  </conditionalFormatting>
  <conditionalFormatting sqref="I13">
    <cfRule type="expression" priority="42" dxfId="49" stopIfTrue="1">
      <formula>M24&gt;7.8</formula>
    </cfRule>
  </conditionalFormatting>
  <conditionalFormatting sqref="I12">
    <cfRule type="expression" priority="43" dxfId="49" stopIfTrue="1">
      <formula>M31&gt;170</formula>
    </cfRule>
    <cfRule type="expression" priority="44" dxfId="49" stopIfTrue="1">
      <formula>M31&lt;110</formula>
    </cfRule>
  </conditionalFormatting>
  <conditionalFormatting sqref="B32">
    <cfRule type="expression" priority="45" dxfId="49" stopIfTrue="1">
      <formula>$M$32&gt;5</formula>
    </cfRule>
  </conditionalFormatting>
  <conditionalFormatting sqref="G7">
    <cfRule type="expression" priority="46" dxfId="48" stopIfTrue="1">
      <formula>$M$5&gt;2.6</formula>
    </cfRule>
    <cfRule type="expression" priority="47" dxfId="47" stopIfTrue="1">
      <formula>$M$5&lt;2.2</formula>
    </cfRule>
  </conditionalFormatting>
  <hyperlinks>
    <hyperlink ref="G31:H31" r:id="rId1" display="peterlloyd@orcon.net.nz"/>
  </hyperlinks>
  <printOptions/>
  <pageMargins left="0.7480314960629921" right="0.7480314960629921" top="0.984251968503937" bottom="0.984251968503937" header="0.5118110236220472" footer="0.5118110236220472"/>
  <pageSetup fitToHeight="1" fitToWidth="1" orientation="landscape" scale="6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11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19.125" style="0" customWidth="1"/>
  </cols>
  <sheetData>
    <row r="1" spans="2:9" ht="12">
      <c r="B1" t="s">
        <v>43</v>
      </c>
      <c r="C1" t="s">
        <v>44</v>
      </c>
      <c r="D1" s="61"/>
      <c r="E1" s="61"/>
      <c r="F1" s="61"/>
      <c r="G1" s="61"/>
      <c r="H1" s="61"/>
      <c r="I1" s="61"/>
    </row>
    <row r="2" spans="1:9" ht="12">
      <c r="A2" t="s">
        <v>41</v>
      </c>
      <c r="B2" s="61">
        <f>'Calculation (2)'!B5</f>
        <v>157</v>
      </c>
      <c r="C2" s="61">
        <v>0</v>
      </c>
      <c r="D2" s="61"/>
      <c r="E2" s="61"/>
      <c r="F2" s="61"/>
      <c r="G2" s="61"/>
      <c r="H2" s="61"/>
      <c r="I2" s="61"/>
    </row>
    <row r="3" spans="1:9" ht="12">
      <c r="A3" t="s">
        <v>42</v>
      </c>
      <c r="B3" s="61">
        <f>'Calculation (2)'!B6+'Calculation (2)'!B29*3+'Calculation (2)'!B30*3</f>
        <v>11.54</v>
      </c>
      <c r="C3" s="61">
        <v>0</v>
      </c>
      <c r="D3" s="61"/>
      <c r="E3" s="61"/>
      <c r="F3" s="61"/>
      <c r="G3" s="61"/>
      <c r="H3" s="61"/>
      <c r="I3" s="61"/>
    </row>
    <row r="4" spans="1:9" ht="12">
      <c r="A4" t="s">
        <v>46</v>
      </c>
      <c r="B4" s="61">
        <f>IF('Calculation (2)'!B62&gt;0,'Calculation (2)'!B62,0)</f>
        <v>0</v>
      </c>
      <c r="C4" s="61">
        <v>0</v>
      </c>
      <c r="D4" s="61"/>
      <c r="E4" s="61"/>
      <c r="F4" s="61"/>
      <c r="G4" s="61"/>
      <c r="H4" s="61"/>
      <c r="I4" s="61"/>
    </row>
    <row r="5" spans="1:9" ht="12">
      <c r="A5" t="s">
        <v>152</v>
      </c>
      <c r="B5">
        <v>0</v>
      </c>
      <c r="C5" s="61">
        <f>'Calculation (2)'!B9</f>
        <v>117</v>
      </c>
      <c r="D5" s="61"/>
      <c r="E5" s="61"/>
      <c r="F5" s="61"/>
      <c r="G5" s="61"/>
      <c r="H5" s="61"/>
      <c r="I5" s="61"/>
    </row>
    <row r="6" spans="1:9" ht="12">
      <c r="A6" t="s">
        <v>23</v>
      </c>
      <c r="B6">
        <v>0</v>
      </c>
      <c r="C6" s="61">
        <f>'Calculation (2)'!B31</f>
        <v>0.9</v>
      </c>
      <c r="D6" s="61"/>
      <c r="E6" s="61"/>
      <c r="F6" s="61"/>
      <c r="G6" s="61"/>
      <c r="H6" s="61"/>
      <c r="I6" s="61"/>
    </row>
    <row r="7" spans="1:9" ht="12">
      <c r="A7" t="s">
        <v>153</v>
      </c>
      <c r="B7">
        <v>0</v>
      </c>
      <c r="C7" s="61">
        <f>'Calculation (2)'!B53+'Calculation (2)'!B35+'Calculation (2)'!B32*3</f>
        <v>7.2583072</v>
      </c>
      <c r="D7" s="61"/>
      <c r="E7" s="61"/>
      <c r="F7" s="61"/>
      <c r="G7" s="61"/>
      <c r="H7" s="61"/>
      <c r="I7" s="61"/>
    </row>
    <row r="8" spans="1:9" ht="12">
      <c r="A8" t="s">
        <v>75</v>
      </c>
      <c r="B8">
        <v>0</v>
      </c>
      <c r="C8" s="61">
        <f>'Calculation (2)'!B59+'Calculation (2)'!B60+'Calculation (2)'!B61</f>
        <v>10.776897602317062</v>
      </c>
      <c r="D8" s="61"/>
      <c r="E8" s="61"/>
      <c r="F8" s="61"/>
      <c r="G8" s="61"/>
      <c r="H8" s="61"/>
      <c r="I8" s="61"/>
    </row>
    <row r="9" spans="1:9" ht="12">
      <c r="A9" t="s">
        <v>45</v>
      </c>
      <c r="B9">
        <v>0</v>
      </c>
      <c r="C9" s="61">
        <f>'Calculation (2)'!B58</f>
        <v>27.070125006493644</v>
      </c>
      <c r="D9" s="61"/>
      <c r="E9" s="61"/>
      <c r="F9" s="61"/>
      <c r="G9" s="61"/>
      <c r="H9" s="61"/>
      <c r="I9" s="61"/>
    </row>
    <row r="10" spans="1:9" ht="12">
      <c r="A10" t="s">
        <v>64</v>
      </c>
      <c r="B10">
        <v>0</v>
      </c>
      <c r="C10" s="61">
        <f>IF('Calculation (2)'!B62&lt;0,-'Calculation (2)'!B62,0)</f>
        <v>5.534670191189285</v>
      </c>
      <c r="D10" s="61"/>
      <c r="E10" s="61"/>
      <c r="F10" s="61"/>
      <c r="G10" s="61"/>
      <c r="H10" s="61"/>
      <c r="I10" s="61"/>
    </row>
    <row r="11" spans="2:9" ht="12">
      <c r="B11" s="61">
        <f>SUM(B2:B10)</f>
        <v>168.54</v>
      </c>
      <c r="C11" s="61">
        <f>SUM(C2:C10)</f>
        <v>168.54</v>
      </c>
      <c r="D11" s="61"/>
      <c r="E11" s="61"/>
      <c r="F11" s="61"/>
      <c r="G11" s="61"/>
      <c r="H11" s="61"/>
      <c r="I11" s="61"/>
    </row>
  </sheetData>
  <sheetProtection password="CD47" sheet="1" objects="1" scenarios="1"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T80"/>
  <sheetViews>
    <sheetView zoomScale="75" zoomScaleNormal="75" zoomScalePageLayoutView="0" workbookViewId="0" topLeftCell="A1">
      <selection activeCell="A2" sqref="A2"/>
    </sheetView>
  </sheetViews>
  <sheetFormatPr defaultColWidth="11.00390625" defaultRowHeight="12.75"/>
  <cols>
    <col min="1" max="1" width="20.125" style="1" bestFit="1" customWidth="1"/>
    <col min="2" max="2" width="13.875" style="1" bestFit="1" customWidth="1"/>
    <col min="3" max="3" width="10.75390625" style="1" customWidth="1"/>
    <col min="4" max="4" width="16.375" style="1" bestFit="1" customWidth="1"/>
    <col min="5" max="5" width="7.375" style="1" bestFit="1" customWidth="1"/>
    <col min="6" max="6" width="7.875" style="58" bestFit="1" customWidth="1"/>
  </cols>
  <sheetData>
    <row r="1" spans="1:20" ht="12">
      <c r="A1" s="1" t="s">
        <v>77</v>
      </c>
      <c r="B1" s="1" t="s">
        <v>242</v>
      </c>
      <c r="C1" s="1" t="s">
        <v>26</v>
      </c>
      <c r="D1" s="1" t="s">
        <v>167</v>
      </c>
      <c r="E1" s="1" t="s">
        <v>26</v>
      </c>
      <c r="F1" s="58" t="s">
        <v>28</v>
      </c>
      <c r="G1" t="s">
        <v>27</v>
      </c>
      <c r="O1" t="s">
        <v>237</v>
      </c>
      <c r="P1" t="s">
        <v>163</v>
      </c>
      <c r="Q1" s="1" t="s">
        <v>26</v>
      </c>
      <c r="R1" s="1" t="s">
        <v>167</v>
      </c>
      <c r="S1" s="1" t="s">
        <v>26</v>
      </c>
      <c r="T1" s="58" t="s">
        <v>28</v>
      </c>
    </row>
    <row r="2" spans="1:20" ht="12">
      <c r="A2" s="1">
        <v>29.580124665515402</v>
      </c>
      <c r="B2" s="1">
        <v>28.021663786421932</v>
      </c>
      <c r="C2" s="1">
        <f>(A2+B2)/2</f>
        <v>28.80089422596867</v>
      </c>
      <c r="D2" s="1">
        <f>B2-A2</f>
        <v>-1.5584608790934702</v>
      </c>
      <c r="E2" s="1">
        <f>C2</f>
        <v>28.80089422596867</v>
      </c>
      <c r="F2" s="58">
        <f>D2/E2</f>
        <v>-0.05411154483141935</v>
      </c>
      <c r="O2">
        <v>40.92606597300097</v>
      </c>
      <c r="P2">
        <v>34.88058866425568</v>
      </c>
      <c r="Q2" s="1">
        <f>(O2+P2)/2</f>
        <v>37.90332731862833</v>
      </c>
      <c r="R2" s="1">
        <f>P2-O2</f>
        <v>-6.045477308745291</v>
      </c>
      <c r="S2" s="1">
        <f>Q2</f>
        <v>37.90332731862833</v>
      </c>
      <c r="T2" s="58">
        <f>R2/S2</f>
        <v>-0.15949727204487726</v>
      </c>
    </row>
    <row r="3" spans="1:20" ht="12">
      <c r="A3" s="1">
        <v>35.07518739525668</v>
      </c>
      <c r="B3" s="1">
        <v>36.20500335784312</v>
      </c>
      <c r="C3" s="1">
        <f aca="true" t="shared" si="0" ref="C3:C66">(A3+B3)/2</f>
        <v>35.640095376549894</v>
      </c>
      <c r="D3" s="1">
        <f aca="true" t="shared" si="1" ref="D3:D66">B3-A3</f>
        <v>1.1298159625864415</v>
      </c>
      <c r="E3" s="1">
        <f aca="true" t="shared" si="2" ref="E3:E66">C3</f>
        <v>35.640095376549894</v>
      </c>
      <c r="F3" s="58">
        <f aca="true" t="shared" si="3" ref="F3:F66">D3/E3</f>
        <v>0.03170069974980556</v>
      </c>
      <c r="O3">
        <v>41.39996748197293</v>
      </c>
      <c r="P3">
        <v>40.057277696506745</v>
      </c>
      <c r="Q3" s="1">
        <f aca="true" t="shared" si="4" ref="Q3:Q66">(O3+P3)/2</f>
        <v>40.72862258923983</v>
      </c>
      <c r="R3" s="1">
        <f aca="true" t="shared" si="5" ref="R3:R66">P3-O3</f>
        <v>-1.3426897854661846</v>
      </c>
      <c r="S3" s="1">
        <f aca="true" t="shared" si="6" ref="S3:S66">Q3</f>
        <v>40.72862258923983</v>
      </c>
      <c r="T3" s="58">
        <f aca="true" t="shared" si="7" ref="T3:T66">R3/S3</f>
        <v>-0.0329667369065634</v>
      </c>
    </row>
    <row r="4" spans="1:20" ht="12">
      <c r="A4" s="1">
        <v>57.01642722807469</v>
      </c>
      <c r="B4" s="1">
        <v>60.14616102640007</v>
      </c>
      <c r="C4" s="1">
        <f t="shared" si="0"/>
        <v>58.581294127237385</v>
      </c>
      <c r="D4" s="1">
        <f t="shared" si="1"/>
        <v>3.1297337983253826</v>
      </c>
      <c r="E4" s="1">
        <f t="shared" si="2"/>
        <v>58.581294127237385</v>
      </c>
      <c r="F4" s="58">
        <f t="shared" si="3"/>
        <v>0.05342548069231219</v>
      </c>
      <c r="O4">
        <v>30.130060241861212</v>
      </c>
      <c r="P4">
        <v>28.31586258562399</v>
      </c>
      <c r="Q4" s="1">
        <f t="shared" si="4"/>
        <v>29.222961413742603</v>
      </c>
      <c r="R4" s="1">
        <f t="shared" si="5"/>
        <v>-1.8141976562372228</v>
      </c>
      <c r="S4" s="1">
        <f t="shared" si="6"/>
        <v>29.222961413742603</v>
      </c>
      <c r="T4" s="58">
        <f t="shared" si="7"/>
        <v>-0.06208123915134984</v>
      </c>
    </row>
    <row r="5" spans="1:20" ht="12">
      <c r="A5" s="1">
        <v>22.90867652767769</v>
      </c>
      <c r="B5" s="1">
        <v>23.604541917014114</v>
      </c>
      <c r="C5" s="1">
        <f t="shared" si="0"/>
        <v>23.2566092223459</v>
      </c>
      <c r="D5" s="1">
        <f t="shared" si="1"/>
        <v>0.6958653893364222</v>
      </c>
      <c r="E5" s="1">
        <f t="shared" si="2"/>
        <v>23.2566092223459</v>
      </c>
      <c r="F5" s="58">
        <f t="shared" si="3"/>
        <v>0.02992118853972084</v>
      </c>
      <c r="O5">
        <v>40.831938633269075</v>
      </c>
      <c r="P5">
        <v>38.51114798936692</v>
      </c>
      <c r="Q5" s="1">
        <f t="shared" si="4"/>
        <v>39.671543311318</v>
      </c>
      <c r="R5" s="1">
        <f t="shared" si="5"/>
        <v>-2.320790643902157</v>
      </c>
      <c r="S5" s="1">
        <f t="shared" si="6"/>
        <v>39.671543311318</v>
      </c>
      <c r="T5" s="58">
        <f t="shared" si="7"/>
        <v>-0.058500135114230675</v>
      </c>
    </row>
    <row r="6" spans="1:20" ht="12">
      <c r="A6" s="1">
        <v>36.22429984166984</v>
      </c>
      <c r="B6" s="1">
        <v>38.185689873276736</v>
      </c>
      <c r="C6" s="1">
        <f t="shared" si="0"/>
        <v>37.20499485747329</v>
      </c>
      <c r="D6" s="1">
        <f t="shared" si="1"/>
        <v>1.9613900316068964</v>
      </c>
      <c r="E6" s="1">
        <f t="shared" si="2"/>
        <v>37.20499485747329</v>
      </c>
      <c r="F6" s="58">
        <f t="shared" si="3"/>
        <v>0.05271845995734404</v>
      </c>
      <c r="O6">
        <v>60.67363295885054</v>
      </c>
      <c r="P6">
        <v>57.73195314791545</v>
      </c>
      <c r="Q6" s="1">
        <f t="shared" si="4"/>
        <v>59.20279305338299</v>
      </c>
      <c r="R6" s="1">
        <f t="shared" si="5"/>
        <v>-2.941679810935092</v>
      </c>
      <c r="S6" s="1">
        <f t="shared" si="6"/>
        <v>59.20279305338299</v>
      </c>
      <c r="T6" s="58">
        <f t="shared" si="7"/>
        <v>-0.04968819306012451</v>
      </c>
    </row>
    <row r="7" spans="1:20" ht="12">
      <c r="A7" s="1">
        <v>57.80960474057157</v>
      </c>
      <c r="B7" s="1">
        <v>61.376906153409344</v>
      </c>
      <c r="C7" s="1">
        <f t="shared" si="0"/>
        <v>59.593255446990455</v>
      </c>
      <c r="D7" s="1">
        <f t="shared" si="1"/>
        <v>3.5673014128377716</v>
      </c>
      <c r="E7" s="1">
        <f t="shared" si="2"/>
        <v>59.593255446990455</v>
      </c>
      <c r="F7" s="58">
        <f t="shared" si="3"/>
        <v>0.05986082461984254</v>
      </c>
      <c r="O7">
        <v>48.41723675840987</v>
      </c>
      <c r="P7">
        <v>45.94991403396259</v>
      </c>
      <c r="Q7" s="1">
        <f t="shared" si="4"/>
        <v>47.18357539618623</v>
      </c>
      <c r="R7" s="1">
        <f t="shared" si="5"/>
        <v>-2.4673227244472784</v>
      </c>
      <c r="S7" s="1">
        <f t="shared" si="6"/>
        <v>47.18357539618623</v>
      </c>
      <c r="T7" s="58">
        <f t="shared" si="7"/>
        <v>-0.05229198304134256</v>
      </c>
    </row>
    <row r="8" spans="1:20" ht="12">
      <c r="A8" s="1">
        <v>35.97493351557413</v>
      </c>
      <c r="B8" s="1">
        <v>35.03321803547001</v>
      </c>
      <c r="C8" s="1">
        <f t="shared" si="0"/>
        <v>35.50407577552207</v>
      </c>
      <c r="D8" s="1">
        <f t="shared" si="1"/>
        <v>-0.9417154801041221</v>
      </c>
      <c r="E8" s="1">
        <f t="shared" si="2"/>
        <v>35.50407577552207</v>
      </c>
      <c r="F8" s="58">
        <f t="shared" si="3"/>
        <v>-0.026524151369499344</v>
      </c>
      <c r="O8">
        <v>63.97348354826471</v>
      </c>
      <c r="P8">
        <v>60.6348742999504</v>
      </c>
      <c r="Q8" s="1">
        <f t="shared" si="4"/>
        <v>62.30417892410755</v>
      </c>
      <c r="R8" s="1">
        <f t="shared" si="5"/>
        <v>-3.338609248314313</v>
      </c>
      <c r="S8" s="1">
        <f t="shared" si="6"/>
        <v>62.30417892410755</v>
      </c>
      <c r="T8" s="58">
        <f t="shared" si="7"/>
        <v>-0.05358563913314801</v>
      </c>
    </row>
    <row r="9" spans="1:20" ht="12">
      <c r="A9" s="1">
        <v>38.72576449216165</v>
      </c>
      <c r="B9" s="1">
        <v>36.50491197682637</v>
      </c>
      <c r="C9" s="1">
        <f t="shared" si="0"/>
        <v>37.61533823449401</v>
      </c>
      <c r="D9" s="1">
        <f t="shared" si="1"/>
        <v>-2.220852515335281</v>
      </c>
      <c r="E9" s="1">
        <f t="shared" si="2"/>
        <v>37.61533823449401</v>
      </c>
      <c r="F9" s="58">
        <f t="shared" si="3"/>
        <v>-0.05904114171433171</v>
      </c>
      <c r="O9">
        <v>104.95424286523222</v>
      </c>
      <c r="P9">
        <v>98.04016988770195</v>
      </c>
      <c r="Q9" s="1">
        <f t="shared" si="4"/>
        <v>101.49720637646709</v>
      </c>
      <c r="R9" s="1">
        <f t="shared" si="5"/>
        <v>-6.914072977530267</v>
      </c>
      <c r="S9" s="1">
        <f t="shared" si="6"/>
        <v>101.49720637646709</v>
      </c>
      <c r="T9" s="58">
        <f t="shared" si="7"/>
        <v>-0.0681208205069706</v>
      </c>
    </row>
    <row r="10" spans="1:20" ht="12">
      <c r="A10" s="1">
        <v>40.92606597300097</v>
      </c>
      <c r="B10" s="1">
        <v>42.47161124624086</v>
      </c>
      <c r="C10" s="1">
        <f t="shared" si="0"/>
        <v>41.69883860962092</v>
      </c>
      <c r="D10" s="1">
        <f t="shared" si="1"/>
        <v>1.5455452732398882</v>
      </c>
      <c r="E10" s="1">
        <f t="shared" si="2"/>
        <v>41.69883860962092</v>
      </c>
      <c r="F10" s="58">
        <f t="shared" si="3"/>
        <v>0.03706446809488104</v>
      </c>
      <c r="O10">
        <v>15.170503674593325</v>
      </c>
      <c r="P10">
        <v>14.817447474110889</v>
      </c>
      <c r="Q10" s="1">
        <f t="shared" si="4"/>
        <v>14.993975574352106</v>
      </c>
      <c r="R10" s="1">
        <f t="shared" si="5"/>
        <v>-0.35305620048243647</v>
      </c>
      <c r="S10" s="1">
        <f t="shared" si="6"/>
        <v>14.993975574352106</v>
      </c>
      <c r="T10" s="58">
        <f t="shared" si="7"/>
        <v>-0.023546536989586375</v>
      </c>
    </row>
    <row r="11" spans="1:20" ht="12">
      <c r="A11" s="1">
        <v>22.233098906514186</v>
      </c>
      <c r="B11" s="1">
        <v>17.43934768848788</v>
      </c>
      <c r="C11" s="1">
        <f t="shared" si="0"/>
        <v>19.836223297501036</v>
      </c>
      <c r="D11" s="1">
        <f t="shared" si="1"/>
        <v>-4.793751218026305</v>
      </c>
      <c r="E11" s="1">
        <f t="shared" si="2"/>
        <v>19.836223297501036</v>
      </c>
      <c r="F11" s="58">
        <f t="shared" si="3"/>
        <v>-0.24166652825642576</v>
      </c>
      <c r="O11">
        <v>19.230917289101555</v>
      </c>
      <c r="P11">
        <v>18.969805552389726</v>
      </c>
      <c r="Q11" s="1">
        <f t="shared" si="4"/>
        <v>19.100361420745642</v>
      </c>
      <c r="R11" s="1">
        <f t="shared" si="5"/>
        <v>-0.26111173671182897</v>
      </c>
      <c r="S11" s="1">
        <f t="shared" si="6"/>
        <v>19.100361420745642</v>
      </c>
      <c r="T11" s="58">
        <f t="shared" si="7"/>
        <v>-0.013670512874600655</v>
      </c>
    </row>
    <row r="12" spans="1:20" ht="12">
      <c r="A12" s="1">
        <v>34.43499307633379</v>
      </c>
      <c r="B12" s="1">
        <v>28.703812738387334</v>
      </c>
      <c r="C12" s="1">
        <f t="shared" si="0"/>
        <v>31.569402907360562</v>
      </c>
      <c r="D12" s="1">
        <f t="shared" si="1"/>
        <v>-5.731180337946455</v>
      </c>
      <c r="E12" s="1">
        <f t="shared" si="2"/>
        <v>31.569402907360562</v>
      </c>
      <c r="F12" s="58">
        <f t="shared" si="3"/>
        <v>-0.18154224692701432</v>
      </c>
      <c r="O12">
        <v>31.332857243155786</v>
      </c>
      <c r="P12">
        <v>31.41709988305088</v>
      </c>
      <c r="Q12" s="1">
        <f t="shared" si="4"/>
        <v>31.374978563103333</v>
      </c>
      <c r="R12" s="1">
        <f t="shared" si="5"/>
        <v>0.08424263989509484</v>
      </c>
      <c r="S12" s="1">
        <f t="shared" si="6"/>
        <v>31.374978563103333</v>
      </c>
      <c r="T12" s="58">
        <f t="shared" si="7"/>
        <v>0.0026850262136645206</v>
      </c>
    </row>
    <row r="13" spans="1:20" ht="12">
      <c r="A13" s="1">
        <v>45.919801283686716</v>
      </c>
      <c r="B13" s="1">
        <v>39.64006158760336</v>
      </c>
      <c r="C13" s="1">
        <f t="shared" si="0"/>
        <v>42.77993143564504</v>
      </c>
      <c r="D13" s="1">
        <f t="shared" si="1"/>
        <v>-6.279739696083354</v>
      </c>
      <c r="E13" s="1">
        <f t="shared" si="2"/>
        <v>42.77993143564504</v>
      </c>
      <c r="F13" s="58">
        <f t="shared" si="3"/>
        <v>-0.14679171951292463</v>
      </c>
      <c r="O13">
        <v>14.125375446227547</v>
      </c>
      <c r="P13">
        <v>13.882236254472653</v>
      </c>
      <c r="Q13" s="1">
        <f t="shared" si="4"/>
        <v>14.003805850350101</v>
      </c>
      <c r="R13" s="1">
        <f t="shared" si="5"/>
        <v>-0.24313919175489396</v>
      </c>
      <c r="S13" s="1">
        <f t="shared" si="6"/>
        <v>14.003805850350101</v>
      </c>
      <c r="T13" s="58">
        <f t="shared" si="7"/>
        <v>-0.017362365227936615</v>
      </c>
    </row>
    <row r="14" spans="1:20" ht="12">
      <c r="A14" s="1">
        <v>29.580124665515402</v>
      </c>
      <c r="B14" s="1">
        <v>28.021663786421932</v>
      </c>
      <c r="C14" s="1">
        <f t="shared" si="0"/>
        <v>28.80089422596867</v>
      </c>
      <c r="D14" s="1">
        <f t="shared" si="1"/>
        <v>-1.5584608790934702</v>
      </c>
      <c r="E14" s="1">
        <f t="shared" si="2"/>
        <v>28.80089422596867</v>
      </c>
      <c r="F14" s="58">
        <f t="shared" si="3"/>
        <v>-0.05411154483141935</v>
      </c>
      <c r="O14">
        <v>19.098532585662312</v>
      </c>
      <c r="P14">
        <v>19.42669523639782</v>
      </c>
      <c r="Q14" s="1">
        <f t="shared" si="4"/>
        <v>19.262613911030066</v>
      </c>
      <c r="R14" s="1">
        <f t="shared" si="5"/>
        <v>0.3281626507355071</v>
      </c>
      <c r="S14" s="1">
        <f t="shared" si="6"/>
        <v>19.262613911030066</v>
      </c>
      <c r="T14" s="58">
        <f t="shared" si="7"/>
        <v>0.017036247118445133</v>
      </c>
    </row>
    <row r="15" spans="1:20" ht="12">
      <c r="A15" s="1">
        <v>29.580124665515402</v>
      </c>
      <c r="B15" s="1">
        <v>28.021663786421932</v>
      </c>
      <c r="C15" s="1">
        <f t="shared" si="0"/>
        <v>28.80089422596867</v>
      </c>
      <c r="D15" s="1">
        <f t="shared" si="1"/>
        <v>-1.5584608790934702</v>
      </c>
      <c r="E15" s="1">
        <f t="shared" si="2"/>
        <v>28.80089422596867</v>
      </c>
      <c r="F15" s="58">
        <f t="shared" si="3"/>
        <v>-0.05411154483141935</v>
      </c>
      <c r="O15">
        <v>30.69021988391153</v>
      </c>
      <c r="P15">
        <v>31.945429169132026</v>
      </c>
      <c r="Q15" s="1">
        <f t="shared" si="4"/>
        <v>31.31782452652178</v>
      </c>
      <c r="R15" s="1">
        <f t="shared" si="5"/>
        <v>1.255209285220495</v>
      </c>
      <c r="S15" s="1">
        <f t="shared" si="6"/>
        <v>31.31782452652178</v>
      </c>
      <c r="T15" s="58">
        <f t="shared" si="7"/>
        <v>0.040079708734478345</v>
      </c>
    </row>
    <row r="16" spans="1:20" ht="12">
      <c r="A16" s="1">
        <v>64.26877173170196</v>
      </c>
      <c r="B16" s="1">
        <v>60.492717995835456</v>
      </c>
      <c r="C16" s="1">
        <f t="shared" si="0"/>
        <v>62.38074486376871</v>
      </c>
      <c r="D16" s="1">
        <f t="shared" si="1"/>
        <v>-3.7760537358665047</v>
      </c>
      <c r="E16" s="1">
        <f t="shared" si="2"/>
        <v>62.38074486376871</v>
      </c>
      <c r="F16" s="58">
        <f t="shared" si="3"/>
        <v>-0.060532360492214485</v>
      </c>
      <c r="O16">
        <v>35.72728381519284</v>
      </c>
      <c r="P16">
        <v>31.9648131235718</v>
      </c>
      <c r="Q16" s="1">
        <f t="shared" si="4"/>
        <v>33.846048469382325</v>
      </c>
      <c r="R16" s="1">
        <f t="shared" si="5"/>
        <v>-3.76247069162104</v>
      </c>
      <c r="S16" s="1">
        <f t="shared" si="6"/>
        <v>33.846048469382325</v>
      </c>
      <c r="T16" s="58">
        <f t="shared" si="7"/>
        <v>-0.11116425289719215</v>
      </c>
    </row>
    <row r="17" spans="1:20" ht="12">
      <c r="A17" s="1">
        <v>34.59393778261206</v>
      </c>
      <c r="B17" s="1">
        <v>32.778769897342144</v>
      </c>
      <c r="C17" s="1">
        <f t="shared" si="0"/>
        <v>33.6863538399771</v>
      </c>
      <c r="D17" s="1">
        <f t="shared" si="1"/>
        <v>-1.815167885269915</v>
      </c>
      <c r="E17" s="1">
        <f t="shared" si="2"/>
        <v>33.6863538399771</v>
      </c>
      <c r="F17" s="58">
        <f t="shared" si="3"/>
        <v>-0.05388436795186109</v>
      </c>
      <c r="O17">
        <v>42.1696503428582</v>
      </c>
      <c r="P17">
        <v>38.23270423851831</v>
      </c>
      <c r="Q17" s="1">
        <f t="shared" si="4"/>
        <v>40.20117729068825</v>
      </c>
      <c r="R17" s="1">
        <f t="shared" si="5"/>
        <v>-3.9369461043398886</v>
      </c>
      <c r="S17" s="1">
        <f t="shared" si="6"/>
        <v>40.20117729068825</v>
      </c>
      <c r="T17" s="58">
        <f t="shared" si="7"/>
        <v>-0.09793111470026025</v>
      </c>
    </row>
    <row r="18" spans="1:20" ht="12">
      <c r="A18" s="1">
        <v>48.19477976251261</v>
      </c>
      <c r="B18" s="1">
        <v>48.508901290296144</v>
      </c>
      <c r="C18" s="1">
        <f t="shared" si="0"/>
        <v>48.351840526404374</v>
      </c>
      <c r="D18" s="1">
        <f t="shared" si="1"/>
        <v>0.3141215277835343</v>
      </c>
      <c r="E18" s="1">
        <f t="shared" si="2"/>
        <v>48.351840526404374</v>
      </c>
      <c r="F18" s="58">
        <f t="shared" si="3"/>
        <v>0.006496578503810961</v>
      </c>
      <c r="O18">
        <v>80.53784411990645</v>
      </c>
      <c r="P18">
        <v>72.71207726947607</v>
      </c>
      <c r="Q18" s="1">
        <f t="shared" si="4"/>
        <v>76.62496069469125</v>
      </c>
      <c r="R18" s="1">
        <f t="shared" si="5"/>
        <v>-7.825766850430384</v>
      </c>
      <c r="S18" s="1">
        <f t="shared" si="6"/>
        <v>76.62496069469125</v>
      </c>
      <c r="T18" s="58">
        <f t="shared" si="7"/>
        <v>-0.10213077800603126</v>
      </c>
    </row>
    <row r="19" spans="1:20" ht="12">
      <c r="A19" s="1">
        <v>62.373483548241786</v>
      </c>
      <c r="B19" s="1">
        <v>63.854011139788675</v>
      </c>
      <c r="C19" s="1">
        <f t="shared" si="0"/>
        <v>63.11374734401523</v>
      </c>
      <c r="D19" s="1">
        <f t="shared" si="1"/>
        <v>1.4805275915468883</v>
      </c>
      <c r="E19" s="1">
        <f t="shared" si="2"/>
        <v>63.11374734401523</v>
      </c>
      <c r="F19" s="58">
        <f t="shared" si="3"/>
        <v>0.023458084075992987</v>
      </c>
      <c r="O19">
        <v>11.6144861384034</v>
      </c>
      <c r="P19">
        <v>11.948084881557588</v>
      </c>
      <c r="Q19" s="1">
        <f t="shared" si="4"/>
        <v>11.781285509980494</v>
      </c>
      <c r="R19" s="1">
        <f t="shared" si="5"/>
        <v>0.33359874315418736</v>
      </c>
      <c r="S19" s="1">
        <f t="shared" si="6"/>
        <v>11.781285509980494</v>
      </c>
      <c r="T19" s="58">
        <f t="shared" si="7"/>
        <v>0.02831598834198355</v>
      </c>
    </row>
    <row r="20" spans="1:20" ht="12">
      <c r="A20" s="1">
        <v>21.928049353504466</v>
      </c>
      <c r="B20" s="1">
        <v>24.126070558154595</v>
      </c>
      <c r="C20" s="1">
        <f t="shared" si="0"/>
        <v>23.02705995582953</v>
      </c>
      <c r="D20" s="1">
        <f t="shared" si="1"/>
        <v>2.1980212046501286</v>
      </c>
      <c r="E20" s="1">
        <f t="shared" si="2"/>
        <v>23.02705995582953</v>
      </c>
      <c r="F20" s="58">
        <f t="shared" si="3"/>
        <v>0.09545383600278844</v>
      </c>
      <c r="O20">
        <v>19.230917289101555</v>
      </c>
      <c r="P20">
        <v>20.511102721377974</v>
      </c>
      <c r="Q20" s="1">
        <f t="shared" si="4"/>
        <v>19.871010005239764</v>
      </c>
      <c r="R20" s="1">
        <f t="shared" si="5"/>
        <v>1.2801854322764186</v>
      </c>
      <c r="S20" s="1">
        <f t="shared" si="6"/>
        <v>19.871010005239764</v>
      </c>
      <c r="T20" s="58">
        <f t="shared" si="7"/>
        <v>0.06442477921046026</v>
      </c>
    </row>
    <row r="21" spans="1:20" ht="12">
      <c r="A21" s="1">
        <v>38.2824743316822</v>
      </c>
      <c r="B21" s="1">
        <v>41.12185478855077</v>
      </c>
      <c r="C21" s="1">
        <f t="shared" si="0"/>
        <v>39.702164560116486</v>
      </c>
      <c r="D21" s="1">
        <f t="shared" si="1"/>
        <v>2.839380456868568</v>
      </c>
      <c r="E21" s="1">
        <f t="shared" si="2"/>
        <v>39.702164560116486</v>
      </c>
      <c r="F21" s="58">
        <f t="shared" si="3"/>
        <v>0.07151701899198006</v>
      </c>
      <c r="O21">
        <v>37.75721909254152</v>
      </c>
      <c r="P21">
        <v>39.891742833348985</v>
      </c>
      <c r="Q21" s="1">
        <f t="shared" si="4"/>
        <v>38.82448096294525</v>
      </c>
      <c r="R21" s="1">
        <f t="shared" si="5"/>
        <v>2.1345237408074667</v>
      </c>
      <c r="S21" s="1">
        <f t="shared" si="6"/>
        <v>38.82448096294525</v>
      </c>
      <c r="T21" s="58">
        <f t="shared" si="7"/>
        <v>0.05497880944872625</v>
      </c>
    </row>
    <row r="22" spans="1:20" ht="12">
      <c r="A22" s="1">
        <v>57.14786366718648</v>
      </c>
      <c r="B22" s="1">
        <v>57.722103804673</v>
      </c>
      <c r="C22" s="1">
        <f t="shared" si="0"/>
        <v>57.434983735929734</v>
      </c>
      <c r="D22" s="1">
        <f t="shared" si="1"/>
        <v>0.5742401374865196</v>
      </c>
      <c r="E22" s="1">
        <f t="shared" si="2"/>
        <v>57.434983735929734</v>
      </c>
      <c r="F22" s="58">
        <f t="shared" si="3"/>
        <v>0.009998090016473546</v>
      </c>
      <c r="O22">
        <v>17.94733626832524</v>
      </c>
      <c r="P22">
        <v>16.147470324958917</v>
      </c>
      <c r="Q22" s="1">
        <f t="shared" si="4"/>
        <v>17.04740329664208</v>
      </c>
      <c r="R22" s="1">
        <f t="shared" si="5"/>
        <v>-1.7998659433663242</v>
      </c>
      <c r="S22" s="1">
        <f t="shared" si="6"/>
        <v>17.04740329664208</v>
      </c>
      <c r="T22" s="58">
        <f t="shared" si="7"/>
        <v>-0.10558006471993618</v>
      </c>
    </row>
    <row r="23" spans="1:20" ht="12">
      <c r="A23" s="1">
        <v>24.099054286865854</v>
      </c>
      <c r="B23" s="1">
        <v>21.439476077482613</v>
      </c>
      <c r="C23" s="1">
        <f t="shared" si="0"/>
        <v>22.769265182174234</v>
      </c>
      <c r="D23" s="1">
        <f t="shared" si="1"/>
        <v>-2.659578209383241</v>
      </c>
      <c r="E23" s="1">
        <f t="shared" si="2"/>
        <v>22.769265182174234</v>
      </c>
      <c r="F23" s="58">
        <f t="shared" si="3"/>
        <v>-0.11680562319882817</v>
      </c>
      <c r="O23">
        <v>30.33891184194266</v>
      </c>
      <c r="P23">
        <v>28.070982206764292</v>
      </c>
      <c r="Q23" s="1">
        <f t="shared" si="4"/>
        <v>29.204947024353476</v>
      </c>
      <c r="R23" s="1">
        <f t="shared" si="5"/>
        <v>-2.267929635178369</v>
      </c>
      <c r="S23" s="1">
        <f t="shared" si="6"/>
        <v>29.204947024353476</v>
      </c>
      <c r="T23" s="58">
        <f t="shared" si="7"/>
        <v>-0.07765566680491437</v>
      </c>
    </row>
    <row r="24" spans="1:20" ht="12">
      <c r="A24" s="1">
        <v>34.19794425137087</v>
      </c>
      <c r="B24" s="1">
        <v>31.92830566619843</v>
      </c>
      <c r="C24" s="1">
        <f t="shared" si="0"/>
        <v>33.06312495878465</v>
      </c>
      <c r="D24" s="1">
        <f t="shared" si="1"/>
        <v>-2.2696385851724408</v>
      </c>
      <c r="E24" s="1">
        <f t="shared" si="2"/>
        <v>33.06312495878465</v>
      </c>
      <c r="F24" s="58">
        <f t="shared" si="3"/>
        <v>-0.06864561616609724</v>
      </c>
      <c r="O24">
        <v>60.53408747539132</v>
      </c>
      <c r="P24">
        <v>56.85436564111795</v>
      </c>
      <c r="Q24" s="1">
        <f t="shared" si="4"/>
        <v>58.694226558254634</v>
      </c>
      <c r="R24" s="1">
        <f t="shared" si="5"/>
        <v>-3.6797218342733657</v>
      </c>
      <c r="S24" s="1">
        <f t="shared" si="6"/>
        <v>58.694226558254634</v>
      </c>
      <c r="T24" s="58">
        <f t="shared" si="7"/>
        <v>-0.0626930798827582</v>
      </c>
    </row>
    <row r="25" spans="1:20" ht="12">
      <c r="A25" s="1">
        <v>48.305880203977175</v>
      </c>
      <c r="B25" s="1">
        <v>47.8198573622246</v>
      </c>
      <c r="C25" s="1">
        <f t="shared" si="0"/>
        <v>48.06286878310089</v>
      </c>
      <c r="D25" s="1">
        <f t="shared" si="1"/>
        <v>-0.4860228417525718</v>
      </c>
      <c r="E25" s="1">
        <f t="shared" si="2"/>
        <v>48.06286878310089</v>
      </c>
      <c r="F25" s="58">
        <f t="shared" si="3"/>
        <v>-0.01011223121004087</v>
      </c>
      <c r="O25">
        <v>35.80964371026358</v>
      </c>
      <c r="P25">
        <v>39.30168077884381</v>
      </c>
      <c r="Q25" s="1">
        <f t="shared" si="4"/>
        <v>37.555662244553695</v>
      </c>
      <c r="R25" s="1">
        <f t="shared" si="5"/>
        <v>3.492037068580231</v>
      </c>
      <c r="S25" s="1">
        <f t="shared" si="6"/>
        <v>37.555662244553695</v>
      </c>
      <c r="T25" s="58">
        <f t="shared" si="7"/>
        <v>0.09298297140497488</v>
      </c>
    </row>
    <row r="26" spans="1:20" ht="12">
      <c r="A26" s="1">
        <v>21.827299118430123</v>
      </c>
      <c r="B26" s="1">
        <v>17.76562389730963</v>
      </c>
      <c r="C26" s="1">
        <f t="shared" si="0"/>
        <v>19.79646150786988</v>
      </c>
      <c r="D26" s="1">
        <f t="shared" si="1"/>
        <v>-4.061675221120492</v>
      </c>
      <c r="E26" s="1">
        <f t="shared" si="2"/>
        <v>19.79646150786988</v>
      </c>
      <c r="F26" s="58">
        <f t="shared" si="3"/>
        <v>-0.2051717787800519</v>
      </c>
      <c r="O26">
        <v>59.429215861557104</v>
      </c>
      <c r="P26">
        <v>64.0962615249884</v>
      </c>
      <c r="Q26" s="1">
        <f t="shared" si="4"/>
        <v>61.76273869327275</v>
      </c>
      <c r="R26" s="1">
        <f t="shared" si="5"/>
        <v>4.667045663431303</v>
      </c>
      <c r="S26" s="1">
        <f t="shared" si="6"/>
        <v>61.76273869327275</v>
      </c>
      <c r="T26" s="58">
        <f t="shared" si="7"/>
        <v>0.07556409838962728</v>
      </c>
    </row>
    <row r="27" spans="1:20" ht="12">
      <c r="A27" s="1">
        <v>32.06269324505458</v>
      </c>
      <c r="B27" s="1">
        <v>27.818217337273698</v>
      </c>
      <c r="C27" s="1">
        <f t="shared" si="0"/>
        <v>29.94045529116414</v>
      </c>
      <c r="D27" s="1">
        <f t="shared" si="1"/>
        <v>-4.244475907780885</v>
      </c>
      <c r="E27" s="1">
        <f t="shared" si="2"/>
        <v>29.94045529116414</v>
      </c>
      <c r="F27" s="58">
        <f t="shared" si="3"/>
        <v>-0.14176390661078192</v>
      </c>
      <c r="O27">
        <v>95.94006315159307</v>
      </c>
      <c r="P27">
        <v>101.81942571098202</v>
      </c>
      <c r="Q27" s="1">
        <f t="shared" si="4"/>
        <v>98.87974443128755</v>
      </c>
      <c r="R27" s="1">
        <f t="shared" si="5"/>
        <v>5.879362559388952</v>
      </c>
      <c r="S27" s="1">
        <f t="shared" si="6"/>
        <v>98.87974443128755</v>
      </c>
      <c r="T27" s="58">
        <f t="shared" si="7"/>
        <v>0.05945972649104666</v>
      </c>
    </row>
    <row r="28" spans="1:20" ht="12">
      <c r="A28" s="1">
        <v>45.60369159512954</v>
      </c>
      <c r="B28" s="1">
        <v>40.13020181960617</v>
      </c>
      <c r="C28" s="1">
        <f t="shared" si="0"/>
        <v>42.86694670736786</v>
      </c>
      <c r="D28" s="1">
        <f t="shared" si="1"/>
        <v>-5.473489775523369</v>
      </c>
      <c r="E28" s="1">
        <f t="shared" si="2"/>
        <v>42.86694670736786</v>
      </c>
      <c r="F28" s="58">
        <f t="shared" si="3"/>
        <v>-0.12768555252811137</v>
      </c>
      <c r="O28">
        <v>21.086281499332852</v>
      </c>
      <c r="P28">
        <v>18.792235099347543</v>
      </c>
      <c r="Q28" s="1">
        <f t="shared" si="4"/>
        <v>19.939258299340196</v>
      </c>
      <c r="R28" s="1">
        <f t="shared" si="5"/>
        <v>-2.2940463999853087</v>
      </c>
      <c r="S28" s="1">
        <f t="shared" si="6"/>
        <v>19.939258299340196</v>
      </c>
      <c r="T28" s="58">
        <f t="shared" si="7"/>
        <v>-0.11505174192267825</v>
      </c>
    </row>
    <row r="29" spans="1:20" ht="12">
      <c r="A29" s="1">
        <v>21.97859872784817</v>
      </c>
      <c r="B29" s="1">
        <v>18.309142002703695</v>
      </c>
      <c r="C29" s="1">
        <f t="shared" si="0"/>
        <v>20.14387036527593</v>
      </c>
      <c r="D29" s="1">
        <f t="shared" si="1"/>
        <v>-3.6694567251444745</v>
      </c>
      <c r="E29" s="1">
        <f t="shared" si="2"/>
        <v>20.14387036527593</v>
      </c>
      <c r="F29" s="58">
        <f t="shared" si="3"/>
        <v>-0.18216244736512482</v>
      </c>
      <c r="O29">
        <v>42.756288615158624</v>
      </c>
      <c r="P29">
        <v>39.04883048160221</v>
      </c>
      <c r="Q29" s="1">
        <f t="shared" si="4"/>
        <v>40.90255954838042</v>
      </c>
      <c r="R29" s="1">
        <f t="shared" si="5"/>
        <v>-3.7074581335564147</v>
      </c>
      <c r="S29" s="1">
        <f t="shared" si="6"/>
        <v>40.90255954838042</v>
      </c>
      <c r="T29" s="58">
        <f t="shared" si="7"/>
        <v>-0.09064122574459318</v>
      </c>
    </row>
    <row r="30" spans="1:20" ht="12">
      <c r="A30" s="1">
        <v>32.80952931131183</v>
      </c>
      <c r="B30" s="1">
        <v>28.605240104015895</v>
      </c>
      <c r="C30" s="1">
        <f t="shared" si="0"/>
        <v>30.707384707663863</v>
      </c>
      <c r="D30" s="1">
        <f t="shared" si="1"/>
        <v>-4.204289207295933</v>
      </c>
      <c r="E30" s="1">
        <f t="shared" si="2"/>
        <v>30.707384707663863</v>
      </c>
      <c r="F30" s="58">
        <f t="shared" si="3"/>
        <v>-0.13691459716680587</v>
      </c>
      <c r="O30">
        <v>19.453600816226597</v>
      </c>
      <c r="P30">
        <v>18.073791045423846</v>
      </c>
      <c r="Q30" s="1">
        <f t="shared" si="4"/>
        <v>18.76369593082522</v>
      </c>
      <c r="R30" s="1">
        <f t="shared" si="5"/>
        <v>-1.3798097708027512</v>
      </c>
      <c r="S30" s="1">
        <f t="shared" si="6"/>
        <v>18.76369593082522</v>
      </c>
      <c r="T30" s="58">
        <f t="shared" si="7"/>
        <v>-0.07353613999553166</v>
      </c>
    </row>
    <row r="31" spans="1:20" ht="12">
      <c r="A31" s="1">
        <v>46.558609352295775</v>
      </c>
      <c r="B31" s="1">
        <v>41.23023095866048</v>
      </c>
      <c r="C31" s="1">
        <f t="shared" si="0"/>
        <v>43.89442015547813</v>
      </c>
      <c r="D31" s="1">
        <f t="shared" si="1"/>
        <v>-5.3283783936352975</v>
      </c>
      <c r="E31" s="1">
        <f t="shared" si="2"/>
        <v>43.89442015547813</v>
      </c>
      <c r="F31" s="58">
        <f t="shared" si="3"/>
        <v>-0.12139079123865139</v>
      </c>
      <c r="O31">
        <v>19.860949173573665</v>
      </c>
      <c r="P31">
        <v>17.982931868862007</v>
      </c>
      <c r="Q31" s="1">
        <f t="shared" si="4"/>
        <v>18.921940521217834</v>
      </c>
      <c r="R31" s="1">
        <f t="shared" si="5"/>
        <v>-1.8780173047116584</v>
      </c>
      <c r="S31" s="1">
        <f t="shared" si="6"/>
        <v>18.921940521217834</v>
      </c>
      <c r="T31" s="58">
        <f t="shared" si="7"/>
        <v>-0.09925077729769692</v>
      </c>
    </row>
    <row r="32" spans="1:20" ht="12">
      <c r="A32" s="1">
        <v>50.46612975635288</v>
      </c>
      <c r="B32" s="1">
        <v>47.90635730257781</v>
      </c>
      <c r="C32" s="1">
        <f t="shared" si="0"/>
        <v>49.186243529465344</v>
      </c>
      <c r="D32" s="1">
        <f t="shared" si="1"/>
        <v>-2.559772453775068</v>
      </c>
      <c r="E32" s="1">
        <f t="shared" si="2"/>
        <v>49.186243529465344</v>
      </c>
      <c r="F32" s="58">
        <f t="shared" si="3"/>
        <v>-0.05204244662924135</v>
      </c>
      <c r="O32">
        <v>23.442288153199183</v>
      </c>
      <c r="P32">
        <v>22.110164884716145</v>
      </c>
      <c r="Q32" s="1">
        <f t="shared" si="4"/>
        <v>22.776226518957664</v>
      </c>
      <c r="R32" s="1">
        <f t="shared" si="5"/>
        <v>-1.3321232684830377</v>
      </c>
      <c r="S32" s="1">
        <f t="shared" si="6"/>
        <v>22.776226518957664</v>
      </c>
      <c r="T32" s="58">
        <f t="shared" si="7"/>
        <v>-0.05848744379909694</v>
      </c>
    </row>
    <row r="33" spans="1:20" ht="12">
      <c r="A33" s="1">
        <v>69.5024317588796</v>
      </c>
      <c r="B33" s="1">
        <v>67.68852212677359</v>
      </c>
      <c r="C33" s="1">
        <f t="shared" si="0"/>
        <v>68.5954769428266</v>
      </c>
      <c r="D33" s="1">
        <f t="shared" si="1"/>
        <v>-1.8139096321060038</v>
      </c>
      <c r="E33" s="1">
        <f t="shared" si="2"/>
        <v>68.5954769428266</v>
      </c>
      <c r="F33" s="58">
        <f t="shared" si="3"/>
        <v>-0.0264435748966054</v>
      </c>
      <c r="O33">
        <v>26.791683248190317</v>
      </c>
      <c r="P33">
        <v>23.773838893053263</v>
      </c>
      <c r="Q33" s="1">
        <f t="shared" si="4"/>
        <v>25.28276107062179</v>
      </c>
      <c r="R33" s="1">
        <f t="shared" si="5"/>
        <v>-3.017844355137054</v>
      </c>
      <c r="S33" s="1">
        <f t="shared" si="6"/>
        <v>25.28276107062179</v>
      </c>
      <c r="T33" s="58">
        <f t="shared" si="7"/>
        <v>-0.11936371770106022</v>
      </c>
    </row>
    <row r="34" spans="1:20" ht="12">
      <c r="A34" s="1">
        <v>94.18895965228403</v>
      </c>
      <c r="B34" s="1">
        <v>90.89791029935986</v>
      </c>
      <c r="C34" s="1">
        <f t="shared" si="0"/>
        <v>92.54343497582195</v>
      </c>
      <c r="D34" s="1">
        <f t="shared" si="1"/>
        <v>-3.291049352924162</v>
      </c>
      <c r="E34" s="1">
        <f t="shared" si="2"/>
        <v>92.54343497582195</v>
      </c>
      <c r="F34" s="58">
        <f t="shared" si="3"/>
        <v>-0.03556221307091083</v>
      </c>
      <c r="O34">
        <v>19.142559250210798</v>
      </c>
      <c r="P34">
        <v>18.60488907295452</v>
      </c>
      <c r="Q34" s="1">
        <f t="shared" si="4"/>
        <v>18.873724161582658</v>
      </c>
      <c r="R34" s="1">
        <f t="shared" si="5"/>
        <v>-0.5376701772562775</v>
      </c>
      <c r="S34" s="1">
        <f t="shared" si="6"/>
        <v>18.873724161582658</v>
      </c>
      <c r="T34" s="58">
        <f t="shared" si="7"/>
        <v>-0.02848776280998647</v>
      </c>
    </row>
    <row r="35" spans="1:20" ht="12">
      <c r="A35" s="1">
        <v>35.892193464500394</v>
      </c>
      <c r="B35" s="1">
        <v>35.33481178440483</v>
      </c>
      <c r="C35" s="1">
        <f t="shared" si="0"/>
        <v>35.61350262445261</v>
      </c>
      <c r="D35" s="1">
        <f t="shared" si="1"/>
        <v>-0.5573816800955669</v>
      </c>
      <c r="E35" s="1">
        <f t="shared" si="2"/>
        <v>35.61350262445261</v>
      </c>
      <c r="F35" s="58">
        <f t="shared" si="3"/>
        <v>-0.01565085259861137</v>
      </c>
      <c r="O35">
        <v>30.902954325135813</v>
      </c>
      <c r="P35">
        <v>30.423892499477915</v>
      </c>
      <c r="Q35" s="1">
        <f t="shared" si="4"/>
        <v>30.663423412306862</v>
      </c>
      <c r="R35" s="1">
        <f t="shared" si="5"/>
        <v>-0.47906182565789734</v>
      </c>
      <c r="S35" s="1">
        <f t="shared" si="6"/>
        <v>30.663423412306862</v>
      </c>
      <c r="T35" s="58">
        <f t="shared" si="7"/>
        <v>-0.015623233557986366</v>
      </c>
    </row>
    <row r="36" spans="1:20" ht="12">
      <c r="A36" s="1">
        <v>53.21082592667938</v>
      </c>
      <c r="B36" s="1">
        <v>53.685575570273066</v>
      </c>
      <c r="C36" s="1">
        <f t="shared" si="0"/>
        <v>53.448200748476225</v>
      </c>
      <c r="D36" s="1">
        <f t="shared" si="1"/>
        <v>0.47474964359368954</v>
      </c>
      <c r="E36" s="1">
        <f t="shared" si="2"/>
        <v>53.448200748476225</v>
      </c>
      <c r="F36" s="58">
        <f t="shared" si="3"/>
        <v>0.008882425169517505</v>
      </c>
      <c r="O36">
        <v>39.90249023621408</v>
      </c>
      <c r="P36">
        <v>39.129944876969994</v>
      </c>
      <c r="Q36" s="1">
        <f t="shared" si="4"/>
        <v>39.51621755659204</v>
      </c>
      <c r="R36" s="1">
        <f t="shared" si="5"/>
        <v>-0.7725453592440843</v>
      </c>
      <c r="S36" s="1">
        <f t="shared" si="6"/>
        <v>39.51621755659204</v>
      </c>
      <c r="T36" s="58">
        <f t="shared" si="7"/>
        <v>-0.019550083662175036</v>
      </c>
    </row>
    <row r="37" spans="1:20" ht="12">
      <c r="A37" s="1">
        <v>75.16228940182037</v>
      </c>
      <c r="B37" s="1">
        <v>77.04715777306063</v>
      </c>
      <c r="C37" s="1">
        <f t="shared" si="0"/>
        <v>76.1047235874405</v>
      </c>
      <c r="D37" s="1">
        <f t="shared" si="1"/>
        <v>1.884868371240259</v>
      </c>
      <c r="E37" s="1">
        <f t="shared" si="2"/>
        <v>76.1047235874405</v>
      </c>
      <c r="F37" s="58">
        <f t="shared" si="3"/>
        <v>0.024766772447108884</v>
      </c>
      <c r="O37">
        <v>20.701413487910415</v>
      </c>
      <c r="P37">
        <v>19.609341624289723</v>
      </c>
      <c r="Q37" s="1">
        <f t="shared" si="4"/>
        <v>20.15537755610007</v>
      </c>
      <c r="R37" s="1">
        <f t="shared" si="5"/>
        <v>-1.092071863620692</v>
      </c>
      <c r="S37" s="1">
        <f t="shared" si="6"/>
        <v>20.15537755610007</v>
      </c>
      <c r="T37" s="58">
        <f t="shared" si="7"/>
        <v>-0.05418265475707618</v>
      </c>
    </row>
    <row r="38" spans="1:20" ht="12">
      <c r="A38" s="1">
        <v>28.183829312644466</v>
      </c>
      <c r="B38" s="1">
        <v>25.09972969007925</v>
      </c>
      <c r="C38" s="1">
        <f t="shared" si="0"/>
        <v>26.64177950136186</v>
      </c>
      <c r="D38" s="1">
        <f t="shared" si="1"/>
        <v>-3.0840996225652155</v>
      </c>
      <c r="E38" s="1">
        <f t="shared" si="2"/>
        <v>26.64177950136186</v>
      </c>
      <c r="F38" s="58">
        <f t="shared" si="3"/>
        <v>-0.11576177268517533</v>
      </c>
      <c r="O38">
        <v>33.34264127632346</v>
      </c>
      <c r="P38">
        <v>32.01695069555898</v>
      </c>
      <c r="Q38" s="1">
        <f t="shared" si="4"/>
        <v>32.679795985941226</v>
      </c>
      <c r="R38" s="1">
        <f t="shared" si="5"/>
        <v>-1.3256905807644799</v>
      </c>
      <c r="S38" s="1">
        <f t="shared" si="6"/>
        <v>32.679795985941226</v>
      </c>
      <c r="T38" s="58">
        <f t="shared" si="7"/>
        <v>-0.04056606048993663</v>
      </c>
    </row>
    <row r="39" spans="1:20" ht="12">
      <c r="A39" s="1">
        <v>43.05266104917101</v>
      </c>
      <c r="B39" s="1">
        <v>39.650413414076006</v>
      </c>
      <c r="C39" s="1">
        <f t="shared" si="0"/>
        <v>41.35153723162351</v>
      </c>
      <c r="D39" s="1">
        <f t="shared" si="1"/>
        <v>-3.4022476350950015</v>
      </c>
      <c r="E39" s="1">
        <f t="shared" si="2"/>
        <v>41.35153723162351</v>
      </c>
      <c r="F39" s="58">
        <f t="shared" si="3"/>
        <v>-0.08227620695303049</v>
      </c>
      <c r="O39">
        <v>40.73802778041125</v>
      </c>
      <c r="P39">
        <v>40.845311549679714</v>
      </c>
      <c r="Q39" s="1">
        <f t="shared" si="4"/>
        <v>40.79166966504548</v>
      </c>
      <c r="R39" s="1">
        <f t="shared" si="5"/>
        <v>0.10728376926846295</v>
      </c>
      <c r="S39" s="1">
        <f t="shared" si="6"/>
        <v>40.79166966504548</v>
      </c>
      <c r="T39" s="58">
        <f t="shared" si="7"/>
        <v>0.0026300411370607556</v>
      </c>
    </row>
    <row r="40" spans="1:20" ht="12">
      <c r="A40" s="1">
        <v>63.53309318517436</v>
      </c>
      <c r="B40" s="1">
        <v>57.19375811208656</v>
      </c>
      <c r="C40" s="1">
        <f t="shared" si="0"/>
        <v>60.36342564863046</v>
      </c>
      <c r="D40" s="1">
        <f t="shared" si="1"/>
        <v>-6.3393350730877955</v>
      </c>
      <c r="E40" s="1">
        <f t="shared" si="2"/>
        <v>60.36342564863046</v>
      </c>
      <c r="F40" s="58">
        <f t="shared" si="3"/>
        <v>-0.10501947172429277</v>
      </c>
      <c r="O40">
        <v>28.119008303989318</v>
      </c>
      <c r="P40">
        <v>28.098545568919597</v>
      </c>
      <c r="Q40" s="1">
        <f t="shared" si="4"/>
        <v>28.108776936454458</v>
      </c>
      <c r="R40" s="1">
        <f t="shared" si="5"/>
        <v>-0.02046273506972085</v>
      </c>
      <c r="S40" s="1">
        <f t="shared" si="6"/>
        <v>28.108776936454458</v>
      </c>
      <c r="T40" s="58">
        <f t="shared" si="7"/>
        <v>-0.000727983829249525</v>
      </c>
    </row>
    <row r="41" spans="1:20" ht="12">
      <c r="A41" s="1">
        <v>26.607250597988035</v>
      </c>
      <c r="B41" s="1">
        <v>24.742548126339884</v>
      </c>
      <c r="C41" s="1">
        <f t="shared" si="0"/>
        <v>25.67489936216396</v>
      </c>
      <c r="D41" s="1">
        <f t="shared" si="1"/>
        <v>-1.864702471648151</v>
      </c>
      <c r="E41" s="1">
        <f t="shared" si="2"/>
        <v>25.67489936216396</v>
      </c>
      <c r="F41" s="58">
        <f t="shared" si="3"/>
        <v>-0.07262745007663346</v>
      </c>
      <c r="O41">
        <v>44.87453899331308</v>
      </c>
      <c r="P41">
        <v>46.25937264295222</v>
      </c>
      <c r="Q41" s="1">
        <f t="shared" si="4"/>
        <v>45.566955818132655</v>
      </c>
      <c r="R41" s="1">
        <f t="shared" si="5"/>
        <v>1.3848336496391411</v>
      </c>
      <c r="S41" s="1">
        <f t="shared" si="6"/>
        <v>45.566955818132655</v>
      </c>
      <c r="T41" s="58">
        <f t="shared" si="7"/>
        <v>0.03039118204793633</v>
      </c>
    </row>
    <row r="42" spans="1:20" ht="12">
      <c r="A42" s="1">
        <v>39.44573020752771</v>
      </c>
      <c r="B42" s="1">
        <v>36.77243539612337</v>
      </c>
      <c r="C42" s="1">
        <f t="shared" si="0"/>
        <v>38.10908280182554</v>
      </c>
      <c r="D42" s="1">
        <f t="shared" si="1"/>
        <v>-2.6732948114043396</v>
      </c>
      <c r="E42" s="1">
        <f t="shared" si="2"/>
        <v>38.10908280182554</v>
      </c>
      <c r="F42" s="58">
        <f t="shared" si="3"/>
        <v>-0.07014849518436274</v>
      </c>
      <c r="O42">
        <v>57.54399373371559</v>
      </c>
      <c r="P42">
        <v>56.61484390362214</v>
      </c>
      <c r="Q42" s="1">
        <f t="shared" si="4"/>
        <v>57.07941881866886</v>
      </c>
      <c r="R42" s="1">
        <f t="shared" si="5"/>
        <v>-0.9291498300934506</v>
      </c>
      <c r="S42" s="1">
        <f t="shared" si="6"/>
        <v>57.07941881866886</v>
      </c>
      <c r="T42" s="58">
        <f t="shared" si="7"/>
        <v>-0.016278193599784083</v>
      </c>
    </row>
    <row r="43" spans="1:20" ht="12">
      <c r="A43" s="1">
        <v>56.23413251903481</v>
      </c>
      <c r="B43" s="1">
        <v>52.34003859076795</v>
      </c>
      <c r="C43" s="1">
        <f t="shared" si="0"/>
        <v>54.28708555490138</v>
      </c>
      <c r="D43" s="1">
        <f t="shared" si="1"/>
        <v>-3.894093928266855</v>
      </c>
      <c r="E43" s="1">
        <f t="shared" si="2"/>
        <v>54.28708555490138</v>
      </c>
      <c r="F43" s="58">
        <f t="shared" si="3"/>
        <v>-0.0717314972513803</v>
      </c>
      <c r="O43">
        <v>25.23480772480573</v>
      </c>
      <c r="P43">
        <v>22.109010266998244</v>
      </c>
      <c r="Q43" s="1">
        <f t="shared" si="4"/>
        <v>23.671908995901987</v>
      </c>
      <c r="R43" s="1">
        <f t="shared" si="5"/>
        <v>-3.1257974578074865</v>
      </c>
      <c r="S43" s="1">
        <f t="shared" si="6"/>
        <v>23.671908995901987</v>
      </c>
      <c r="T43" s="58">
        <f t="shared" si="7"/>
        <v>-0.13204669967042437</v>
      </c>
    </row>
    <row r="44" spans="1:20" ht="12">
      <c r="A44" s="1">
        <v>32.50872973854338</v>
      </c>
      <c r="B44" s="1">
        <v>31.45873600776178</v>
      </c>
      <c r="C44" s="1">
        <f t="shared" si="0"/>
        <v>31.98373287315258</v>
      </c>
      <c r="D44" s="1">
        <f t="shared" si="1"/>
        <v>-1.0499937307816012</v>
      </c>
      <c r="E44" s="1">
        <f t="shared" si="2"/>
        <v>31.98373287315258</v>
      </c>
      <c r="F44" s="58">
        <f t="shared" si="3"/>
        <v>-0.03282899263028097</v>
      </c>
      <c r="O44">
        <v>41.87935651179172</v>
      </c>
      <c r="P44">
        <v>36.790237648854536</v>
      </c>
      <c r="Q44" s="1">
        <f t="shared" si="4"/>
        <v>39.33479708032313</v>
      </c>
      <c r="R44" s="1">
        <f t="shared" si="5"/>
        <v>-5.089118862937184</v>
      </c>
      <c r="S44" s="1">
        <f t="shared" si="6"/>
        <v>39.33479708032313</v>
      </c>
      <c r="T44" s="58">
        <f t="shared" si="7"/>
        <v>-0.12937956315231555</v>
      </c>
    </row>
    <row r="45" spans="1:20" ht="12">
      <c r="A45" s="1">
        <v>46.98941086052139</v>
      </c>
      <c r="B45" s="1">
        <v>45.81986370569129</v>
      </c>
      <c r="C45" s="1">
        <f t="shared" si="0"/>
        <v>46.40463728310634</v>
      </c>
      <c r="D45" s="1">
        <f t="shared" si="1"/>
        <v>-1.1695471548300986</v>
      </c>
      <c r="E45" s="1">
        <f t="shared" si="2"/>
        <v>46.40463728310634</v>
      </c>
      <c r="F45" s="58">
        <f t="shared" si="3"/>
        <v>-0.025203238799064456</v>
      </c>
      <c r="O45">
        <v>49.31738039549346</v>
      </c>
      <c r="P45">
        <v>45.81823726222102</v>
      </c>
      <c r="Q45" s="1">
        <f t="shared" si="4"/>
        <v>47.56780882885724</v>
      </c>
      <c r="R45" s="1">
        <f t="shared" si="5"/>
        <v>-3.4991431332724403</v>
      </c>
      <c r="S45" s="1">
        <f t="shared" si="6"/>
        <v>47.56780882885724</v>
      </c>
      <c r="T45" s="58">
        <f t="shared" si="7"/>
        <v>-0.07356115867901127</v>
      </c>
    </row>
    <row r="46" spans="1:20" ht="12">
      <c r="A46" s="1">
        <v>66.22165037017608</v>
      </c>
      <c r="B46" s="1">
        <v>63.568701402449136</v>
      </c>
      <c r="C46" s="1">
        <f t="shared" si="0"/>
        <v>64.89517588631261</v>
      </c>
      <c r="D46" s="1">
        <f t="shared" si="1"/>
        <v>-2.6529489677269424</v>
      </c>
      <c r="E46" s="1">
        <f t="shared" si="2"/>
        <v>64.89517588631261</v>
      </c>
      <c r="F46" s="58">
        <f t="shared" si="3"/>
        <v>-0.04088052665693583</v>
      </c>
      <c r="O46">
        <v>47.863009232263785</v>
      </c>
      <c r="P46">
        <v>56.28012150864</v>
      </c>
      <c r="Q46" s="1">
        <f t="shared" si="4"/>
        <v>52.07156537045189</v>
      </c>
      <c r="R46" s="1">
        <f t="shared" si="5"/>
        <v>8.417112276376216</v>
      </c>
      <c r="S46" s="1">
        <f t="shared" si="6"/>
        <v>52.07156537045189</v>
      </c>
      <c r="T46" s="58">
        <f t="shared" si="7"/>
        <v>0.16164507858549076</v>
      </c>
    </row>
    <row r="47" spans="1:20" ht="12">
      <c r="A47" s="1">
        <v>28.119008303989318</v>
      </c>
      <c r="B47" s="1">
        <v>24.95287017424814</v>
      </c>
      <c r="C47" s="1">
        <f t="shared" si="0"/>
        <v>26.53593923911873</v>
      </c>
      <c r="D47" s="1">
        <f t="shared" si="1"/>
        <v>-3.166138129741178</v>
      </c>
      <c r="E47" s="1">
        <f t="shared" si="2"/>
        <v>26.53593923911873</v>
      </c>
      <c r="F47" s="58">
        <f t="shared" si="3"/>
        <v>-0.11931509569760104</v>
      </c>
      <c r="O47">
        <v>71.77942912713603</v>
      </c>
      <c r="P47">
        <v>78.17909074634817</v>
      </c>
      <c r="Q47" s="1">
        <f t="shared" si="4"/>
        <v>74.9792599367421</v>
      </c>
      <c r="R47" s="1">
        <f t="shared" si="5"/>
        <v>6.399661619212139</v>
      </c>
      <c r="S47" s="1">
        <f t="shared" si="6"/>
        <v>74.9792599367421</v>
      </c>
      <c r="T47" s="58">
        <f t="shared" si="7"/>
        <v>0.0853524244519265</v>
      </c>
    </row>
    <row r="48" spans="1:20" ht="12">
      <c r="A48" s="1">
        <v>41.783036664662184</v>
      </c>
      <c r="B48" s="1">
        <v>36.96928355448376</v>
      </c>
      <c r="C48" s="1">
        <f t="shared" si="0"/>
        <v>39.37616010957297</v>
      </c>
      <c r="D48" s="1">
        <f t="shared" si="1"/>
        <v>-4.813753110178425</v>
      </c>
      <c r="E48" s="1">
        <f t="shared" si="2"/>
        <v>39.37616010957297</v>
      </c>
      <c r="F48" s="58">
        <f t="shared" si="3"/>
        <v>-0.1222504453654973</v>
      </c>
      <c r="O48">
        <v>98.62794856312091</v>
      </c>
      <c r="P48">
        <v>102.36945935978116</v>
      </c>
      <c r="Q48" s="1">
        <f t="shared" si="4"/>
        <v>100.49870396145104</v>
      </c>
      <c r="R48" s="1">
        <f t="shared" si="5"/>
        <v>3.7415107966602505</v>
      </c>
      <c r="S48" s="1">
        <f t="shared" si="6"/>
        <v>100.49870396145104</v>
      </c>
      <c r="T48" s="58">
        <f t="shared" si="7"/>
        <v>0.03722944325824746</v>
      </c>
    </row>
    <row r="49" spans="1:20" ht="12">
      <c r="A49" s="1">
        <v>60.25595860743565</v>
      </c>
      <c r="B49" s="1">
        <v>53.364501363406326</v>
      </c>
      <c r="C49" s="1">
        <f t="shared" si="0"/>
        <v>56.81022998542099</v>
      </c>
      <c r="D49" s="1">
        <f t="shared" si="1"/>
        <v>-6.891457244029326</v>
      </c>
      <c r="E49" s="1">
        <f t="shared" si="2"/>
        <v>56.81022998542099</v>
      </c>
      <c r="F49" s="58">
        <f t="shared" si="3"/>
        <v>-0.12130662463077259</v>
      </c>
      <c r="O49">
        <v>38.37072454922784</v>
      </c>
      <c r="P49">
        <v>29.82955142193911</v>
      </c>
      <c r="Q49" s="1">
        <f t="shared" si="4"/>
        <v>34.10013798558347</v>
      </c>
      <c r="R49" s="1">
        <f t="shared" si="5"/>
        <v>-8.541173127288726</v>
      </c>
      <c r="S49" s="1">
        <f t="shared" si="6"/>
        <v>34.10013798558347</v>
      </c>
      <c r="T49" s="58">
        <f t="shared" si="7"/>
        <v>-0.25047327171812855</v>
      </c>
    </row>
    <row r="50" spans="1:20" ht="12">
      <c r="A50" s="1">
        <v>20.464446367246733</v>
      </c>
      <c r="B50" s="1">
        <v>19.157180349393393</v>
      </c>
      <c r="C50" s="1">
        <f t="shared" si="0"/>
        <v>19.81081335832006</v>
      </c>
      <c r="D50" s="1">
        <f t="shared" si="1"/>
        <v>-1.3072660178533404</v>
      </c>
      <c r="E50" s="1">
        <f t="shared" si="2"/>
        <v>19.81081335832006</v>
      </c>
      <c r="F50" s="58">
        <f t="shared" si="3"/>
        <v>-0.06598749855488999</v>
      </c>
      <c r="O50">
        <v>61.2350391724773</v>
      </c>
      <c r="P50">
        <v>49.43801876519828</v>
      </c>
      <c r="Q50" s="1">
        <f t="shared" si="4"/>
        <v>55.33652896883779</v>
      </c>
      <c r="R50" s="1">
        <f t="shared" si="5"/>
        <v>-11.797020407279021</v>
      </c>
      <c r="S50" s="1">
        <f t="shared" si="6"/>
        <v>55.33652896883779</v>
      </c>
      <c r="T50" s="58">
        <f t="shared" si="7"/>
        <v>-0.21318685192420353</v>
      </c>
    </row>
    <row r="51" spans="1:20" ht="12">
      <c r="A51" s="1">
        <v>38.01893963205611</v>
      </c>
      <c r="B51" s="1">
        <v>35.22032927348601</v>
      </c>
      <c r="C51" s="1">
        <f t="shared" si="0"/>
        <v>36.61963445277106</v>
      </c>
      <c r="D51" s="1">
        <f t="shared" si="1"/>
        <v>-2.7986103585701017</v>
      </c>
      <c r="E51" s="1">
        <f t="shared" si="2"/>
        <v>36.61963445277106</v>
      </c>
      <c r="F51" s="58">
        <f t="shared" si="3"/>
        <v>-0.07642376556706253</v>
      </c>
      <c r="O51">
        <v>85.50667128846814</v>
      </c>
      <c r="P51">
        <v>68.5957029832399</v>
      </c>
      <c r="Q51" s="1">
        <f t="shared" si="4"/>
        <v>77.05118713585402</v>
      </c>
      <c r="R51" s="1">
        <f t="shared" si="5"/>
        <v>-16.910968305228238</v>
      </c>
      <c r="S51" s="1">
        <f t="shared" si="6"/>
        <v>77.05118713585402</v>
      </c>
      <c r="T51" s="58">
        <f t="shared" si="7"/>
        <v>-0.2194770636747153</v>
      </c>
    </row>
    <row r="52" spans="1:20" ht="12">
      <c r="A52" s="1">
        <v>57.14786366718648</v>
      </c>
      <c r="B52" s="1">
        <v>53.435780407036525</v>
      </c>
      <c r="C52" s="1">
        <f t="shared" si="0"/>
        <v>55.2918220371115</v>
      </c>
      <c r="D52" s="1">
        <f t="shared" si="1"/>
        <v>-3.712083260149953</v>
      </c>
      <c r="E52" s="1">
        <f t="shared" si="2"/>
        <v>55.2918220371115</v>
      </c>
      <c r="F52" s="58">
        <f t="shared" si="3"/>
        <v>-0.06713620791259922</v>
      </c>
      <c r="O52">
        <v>34.67368504525317</v>
      </c>
      <c r="P52">
        <v>33.34142844557419</v>
      </c>
      <c r="Q52" s="1">
        <f t="shared" si="4"/>
        <v>34.00755674541368</v>
      </c>
      <c r="R52" s="1">
        <f t="shared" si="5"/>
        <v>-1.3322565996789848</v>
      </c>
      <c r="S52" s="1">
        <f t="shared" si="6"/>
        <v>34.00755674541368</v>
      </c>
      <c r="T52" s="58">
        <f t="shared" si="7"/>
        <v>-0.039175310642057676</v>
      </c>
    </row>
    <row r="53" spans="1:20" ht="12">
      <c r="A53" s="1">
        <v>22.750974307720703</v>
      </c>
      <c r="B53" s="1">
        <v>21.75938013905155</v>
      </c>
      <c r="C53" s="1">
        <f t="shared" si="0"/>
        <v>22.255177223386127</v>
      </c>
      <c r="D53" s="1">
        <f t="shared" si="1"/>
        <v>-0.9915941686691525</v>
      </c>
      <c r="E53" s="1">
        <f t="shared" si="2"/>
        <v>22.255177223386127</v>
      </c>
      <c r="F53" s="58">
        <f t="shared" si="3"/>
        <v>-0.04455566265395398</v>
      </c>
      <c r="O53">
        <v>56.75446054085457</v>
      </c>
      <c r="P53">
        <v>55.20870516237923</v>
      </c>
      <c r="Q53" s="1">
        <f t="shared" si="4"/>
        <v>55.981582851616906</v>
      </c>
      <c r="R53" s="1">
        <f t="shared" si="5"/>
        <v>-1.5457553784753415</v>
      </c>
      <c r="S53" s="1">
        <f t="shared" si="6"/>
        <v>55.981582851616906</v>
      </c>
      <c r="T53" s="58">
        <f t="shared" si="7"/>
        <v>-0.02761185553778417</v>
      </c>
    </row>
    <row r="54" spans="1:20" ht="12">
      <c r="A54" s="1">
        <v>34.833731503601115</v>
      </c>
      <c r="B54" s="1">
        <v>33.27309893242298</v>
      </c>
      <c r="C54" s="1">
        <f t="shared" si="0"/>
        <v>34.05341521801205</v>
      </c>
      <c r="D54" s="1">
        <f t="shared" si="1"/>
        <v>-1.5606325711781324</v>
      </c>
      <c r="E54" s="1">
        <f t="shared" si="2"/>
        <v>34.05341521801205</v>
      </c>
      <c r="F54" s="58">
        <f t="shared" si="3"/>
        <v>-0.04582895903940522</v>
      </c>
      <c r="O54">
        <v>82.60379495771771</v>
      </c>
      <c r="P54">
        <v>80.09524641971126</v>
      </c>
      <c r="Q54" s="1">
        <f t="shared" si="4"/>
        <v>81.34952068871448</v>
      </c>
      <c r="R54" s="1">
        <f t="shared" si="5"/>
        <v>-2.508548538006451</v>
      </c>
      <c r="S54" s="1">
        <f t="shared" si="6"/>
        <v>81.34952068871448</v>
      </c>
      <c r="T54" s="58">
        <f t="shared" si="7"/>
        <v>-0.030836672629030733</v>
      </c>
    </row>
    <row r="55" spans="1:20" ht="12">
      <c r="A55" s="1">
        <v>48.41723675840987</v>
      </c>
      <c r="B55" s="1">
        <v>47.40669564405657</v>
      </c>
      <c r="C55" s="1">
        <f t="shared" si="0"/>
        <v>47.91196620123322</v>
      </c>
      <c r="D55" s="1">
        <f t="shared" si="1"/>
        <v>-1.0105411143533019</v>
      </c>
      <c r="E55" s="1">
        <f t="shared" si="2"/>
        <v>47.91196620123322</v>
      </c>
      <c r="F55" s="58">
        <f t="shared" si="3"/>
        <v>-0.02109162270880236</v>
      </c>
      <c r="O55">
        <v>74.98942093324536</v>
      </c>
      <c r="P55">
        <v>67.54183169853329</v>
      </c>
      <c r="Q55" s="1">
        <f t="shared" si="4"/>
        <v>71.26562631588932</v>
      </c>
      <c r="R55" s="1">
        <f t="shared" si="5"/>
        <v>-7.447589234712069</v>
      </c>
      <c r="S55" s="1">
        <f t="shared" si="6"/>
        <v>71.26562631588932</v>
      </c>
      <c r="T55" s="58">
        <f t="shared" si="7"/>
        <v>-0.10450464859033395</v>
      </c>
    </row>
    <row r="56" spans="1:20" ht="12">
      <c r="A56" s="1">
        <v>19.815270258050923</v>
      </c>
      <c r="B56" s="1">
        <v>17.753480110112548</v>
      </c>
      <c r="C56" s="1">
        <f t="shared" si="0"/>
        <v>18.784375184081735</v>
      </c>
      <c r="D56" s="1">
        <f t="shared" si="1"/>
        <v>-2.0617901479383747</v>
      </c>
      <c r="E56" s="1">
        <f t="shared" si="2"/>
        <v>18.784375184081735</v>
      </c>
      <c r="F56" s="58">
        <f t="shared" si="3"/>
        <v>-0.1097609118074674</v>
      </c>
      <c r="O56">
        <v>107.64652136298315</v>
      </c>
      <c r="P56">
        <v>96.71916686765366</v>
      </c>
      <c r="Q56" s="1">
        <f t="shared" si="4"/>
        <v>102.1828441153184</v>
      </c>
      <c r="R56" s="1">
        <f t="shared" si="5"/>
        <v>-10.927354495329496</v>
      </c>
      <c r="S56" s="1">
        <f t="shared" si="6"/>
        <v>102.1828441153184</v>
      </c>
      <c r="T56" s="58">
        <f t="shared" si="7"/>
        <v>-0.10693922830135198</v>
      </c>
    </row>
    <row r="57" spans="1:20" ht="12">
      <c r="A57" s="1">
        <v>29.7851642942919</v>
      </c>
      <c r="B57" s="1">
        <v>27.78596672457114</v>
      </c>
      <c r="C57" s="1">
        <f t="shared" si="0"/>
        <v>28.78556550943152</v>
      </c>
      <c r="D57" s="1">
        <f t="shared" si="1"/>
        <v>-1.99919756972076</v>
      </c>
      <c r="E57" s="1">
        <f t="shared" si="2"/>
        <v>28.78556550943152</v>
      </c>
      <c r="F57" s="58">
        <f t="shared" si="3"/>
        <v>-0.06945139115178153</v>
      </c>
      <c r="O57">
        <v>141.57937799570797</v>
      </c>
      <c r="P57">
        <v>124.14230703742163</v>
      </c>
      <c r="Q57" s="1">
        <f t="shared" si="4"/>
        <v>132.8608425165648</v>
      </c>
      <c r="R57" s="1">
        <f t="shared" si="5"/>
        <v>-17.43707095828634</v>
      </c>
      <c r="S57" s="1">
        <f t="shared" si="6"/>
        <v>132.8608425165648</v>
      </c>
      <c r="T57" s="58">
        <f t="shared" si="7"/>
        <v>-0.13124311593999058</v>
      </c>
    </row>
    <row r="58" spans="1:20" ht="12">
      <c r="A58" s="1">
        <v>42.266861426560304</v>
      </c>
      <c r="B58" s="1">
        <v>39.743624401669706</v>
      </c>
      <c r="C58" s="1">
        <f t="shared" si="0"/>
        <v>41.005242914115</v>
      </c>
      <c r="D58" s="1">
        <f t="shared" si="1"/>
        <v>-2.523237024890598</v>
      </c>
      <c r="E58" s="1">
        <f t="shared" si="2"/>
        <v>41.005242914115</v>
      </c>
      <c r="F58" s="58">
        <f t="shared" si="3"/>
        <v>-0.061534497678150286</v>
      </c>
      <c r="O58">
        <v>55.71857489319293</v>
      </c>
      <c r="P58">
        <v>51.626680408299976</v>
      </c>
      <c r="Q58" s="1">
        <f t="shared" si="4"/>
        <v>53.67262765074645</v>
      </c>
      <c r="R58" s="1">
        <f t="shared" si="5"/>
        <v>-4.091894484892954</v>
      </c>
      <c r="S58" s="1">
        <f t="shared" si="6"/>
        <v>53.67262765074645</v>
      </c>
      <c r="T58" s="58">
        <f t="shared" si="7"/>
        <v>-0.07623801300579787</v>
      </c>
    </row>
    <row r="59" spans="1:20" ht="12">
      <c r="A59" s="1">
        <v>16.180800376430643</v>
      </c>
      <c r="B59" s="1">
        <v>15.374506876083675</v>
      </c>
      <c r="C59" s="1">
        <f t="shared" si="0"/>
        <v>15.777653626257159</v>
      </c>
      <c r="D59" s="1">
        <f t="shared" si="1"/>
        <v>-0.8062935003469676</v>
      </c>
      <c r="E59" s="1">
        <f t="shared" si="2"/>
        <v>15.777653626257159</v>
      </c>
      <c r="F59" s="58">
        <f t="shared" si="3"/>
        <v>-0.05110351129810167</v>
      </c>
      <c r="O59">
        <v>88.92011178579476</v>
      </c>
      <c r="P59">
        <v>80.15959628073982</v>
      </c>
      <c r="Q59" s="1">
        <f t="shared" si="4"/>
        <v>84.53985403326729</v>
      </c>
      <c r="R59" s="1">
        <f t="shared" si="5"/>
        <v>-8.76051550505494</v>
      </c>
      <c r="S59" s="1">
        <f t="shared" si="6"/>
        <v>84.53985403326729</v>
      </c>
      <c r="T59" s="58">
        <f t="shared" si="7"/>
        <v>-0.10362586504594139</v>
      </c>
    </row>
    <row r="60" spans="1:20" ht="12">
      <c r="A60" s="1">
        <v>25.58585886905646</v>
      </c>
      <c r="B60" s="1">
        <v>24.100106365991735</v>
      </c>
      <c r="C60" s="1">
        <f t="shared" si="0"/>
        <v>24.842982617524097</v>
      </c>
      <c r="D60" s="1">
        <f t="shared" si="1"/>
        <v>-1.4857525030647238</v>
      </c>
      <c r="E60" s="1">
        <f t="shared" si="2"/>
        <v>24.842982617524097</v>
      </c>
      <c r="F60" s="58">
        <f t="shared" si="3"/>
        <v>-0.059805721637332006</v>
      </c>
      <c r="O60">
        <v>119.1242008027372</v>
      </c>
      <c r="P60">
        <v>106.36625243778127</v>
      </c>
      <c r="Q60" s="1">
        <f t="shared" si="4"/>
        <v>112.74522662025925</v>
      </c>
      <c r="R60" s="1">
        <f t="shared" si="5"/>
        <v>-12.757948364955936</v>
      </c>
      <c r="S60" s="1">
        <f t="shared" si="6"/>
        <v>112.74522662025925</v>
      </c>
      <c r="T60" s="58">
        <f t="shared" si="7"/>
        <v>-0.11315732601191521</v>
      </c>
    </row>
    <row r="61" spans="1:20" ht="12">
      <c r="A61" s="1">
        <v>36.4753946925607</v>
      </c>
      <c r="B61" s="1">
        <v>34.87829082866799</v>
      </c>
      <c r="C61" s="1">
        <f t="shared" si="0"/>
        <v>35.67684276061435</v>
      </c>
      <c r="D61" s="1">
        <f t="shared" si="1"/>
        <v>-1.5971038638927055</v>
      </c>
      <c r="E61" s="1">
        <f t="shared" si="2"/>
        <v>35.67684276061435</v>
      </c>
      <c r="F61" s="58">
        <f t="shared" si="3"/>
        <v>-0.04476584081750186</v>
      </c>
      <c r="O61">
        <v>22.18196419800217</v>
      </c>
      <c r="P61">
        <v>22.08673644743036</v>
      </c>
      <c r="Q61" s="1">
        <f t="shared" si="4"/>
        <v>22.134350322716266</v>
      </c>
      <c r="R61" s="1">
        <f t="shared" si="5"/>
        <v>-0.09522775057180866</v>
      </c>
      <c r="S61" s="1">
        <f t="shared" si="6"/>
        <v>22.134350322716266</v>
      </c>
      <c r="T61" s="58">
        <f t="shared" si="7"/>
        <v>-0.0043022609285295966</v>
      </c>
    </row>
    <row r="62" spans="1:20" ht="12">
      <c r="A62" s="1">
        <v>47.097732639695174</v>
      </c>
      <c r="B62" s="1">
        <v>45.04737147316642</v>
      </c>
      <c r="C62" s="1">
        <f t="shared" si="0"/>
        <v>46.072552056430794</v>
      </c>
      <c r="D62" s="1">
        <f t="shared" si="1"/>
        <v>-2.050361166528752</v>
      </c>
      <c r="E62" s="1">
        <f t="shared" si="2"/>
        <v>46.072552056430794</v>
      </c>
      <c r="F62" s="58">
        <f t="shared" si="3"/>
        <v>-0.0445028780697327</v>
      </c>
      <c r="O62">
        <v>31.04559588128351</v>
      </c>
      <c r="P62">
        <v>30.543803820187883</v>
      </c>
      <c r="Q62" s="1">
        <f t="shared" si="4"/>
        <v>30.794699850735697</v>
      </c>
      <c r="R62" s="1">
        <f t="shared" si="5"/>
        <v>-0.5017920610956281</v>
      </c>
      <c r="S62" s="1">
        <f t="shared" si="6"/>
        <v>30.794699850735697</v>
      </c>
      <c r="T62" s="58">
        <f t="shared" si="7"/>
        <v>-0.016294754081963885</v>
      </c>
    </row>
    <row r="63" spans="1:20" ht="12">
      <c r="A63" s="1">
        <v>69.5024317588796</v>
      </c>
      <c r="B63" s="1">
        <v>66.08513053603967</v>
      </c>
      <c r="C63" s="1">
        <f t="shared" si="0"/>
        <v>67.79378114745964</v>
      </c>
      <c r="D63" s="1">
        <f t="shared" si="1"/>
        <v>-3.4173012228399244</v>
      </c>
      <c r="E63" s="1">
        <f t="shared" si="2"/>
        <v>67.79378114745964</v>
      </c>
      <c r="F63" s="58">
        <f t="shared" si="3"/>
        <v>-0.05040729643633363</v>
      </c>
      <c r="O63">
        <v>44.97798548932869</v>
      </c>
      <c r="P63">
        <v>44.57290522275152</v>
      </c>
      <c r="Q63" s="1">
        <f t="shared" si="4"/>
        <v>44.77544535604011</v>
      </c>
      <c r="R63" s="1">
        <f t="shared" si="5"/>
        <v>-0.40508026657716556</v>
      </c>
      <c r="S63" s="1">
        <f t="shared" si="6"/>
        <v>44.77544535604011</v>
      </c>
      <c r="T63" s="58">
        <f t="shared" si="7"/>
        <v>-0.00904692881011224</v>
      </c>
    </row>
    <row r="64" spans="1:20" ht="12">
      <c r="A64" s="1">
        <v>95.27961640236508</v>
      </c>
      <c r="B64" s="1">
        <v>87.39938552753432</v>
      </c>
      <c r="C64" s="1">
        <f t="shared" si="0"/>
        <v>91.3395009649497</v>
      </c>
      <c r="D64" s="1">
        <f t="shared" si="1"/>
        <v>-7.880230874830758</v>
      </c>
      <c r="E64" s="1">
        <f t="shared" si="2"/>
        <v>91.3395009649497</v>
      </c>
      <c r="F64" s="58">
        <f t="shared" si="3"/>
        <v>-0.08627407410354354</v>
      </c>
      <c r="O64">
        <v>19.678862897068417</v>
      </c>
      <c r="P64">
        <v>19.537582384151882</v>
      </c>
      <c r="Q64" s="1">
        <f t="shared" si="4"/>
        <v>19.60822264061015</v>
      </c>
      <c r="R64" s="1">
        <f t="shared" si="5"/>
        <v>-0.1412805129165342</v>
      </c>
      <c r="S64" s="1">
        <f t="shared" si="6"/>
        <v>19.60822264061015</v>
      </c>
      <c r="T64" s="58">
        <f t="shared" si="7"/>
        <v>-0.007205166705111319</v>
      </c>
    </row>
    <row r="65" spans="1:20" ht="12">
      <c r="A65" s="1">
        <v>37.67037989839078</v>
      </c>
      <c r="B65" s="1">
        <v>39.58823757030341</v>
      </c>
      <c r="C65" s="1">
        <f t="shared" si="0"/>
        <v>38.62930873434709</v>
      </c>
      <c r="D65" s="1">
        <f t="shared" si="1"/>
        <v>1.9178576719126355</v>
      </c>
      <c r="E65" s="1">
        <f t="shared" si="2"/>
        <v>38.62930873434709</v>
      </c>
      <c r="F65" s="58">
        <f t="shared" si="3"/>
        <v>0.04964773470583438</v>
      </c>
      <c r="O65">
        <v>27.478941531023885</v>
      </c>
      <c r="P65">
        <v>27.521757615724283</v>
      </c>
      <c r="Q65" s="1">
        <f t="shared" si="4"/>
        <v>27.500349573374084</v>
      </c>
      <c r="R65" s="1">
        <f t="shared" si="5"/>
        <v>0.042816084700397994</v>
      </c>
      <c r="S65" s="1">
        <f t="shared" si="6"/>
        <v>27.500349573374084</v>
      </c>
      <c r="T65" s="58">
        <f t="shared" si="7"/>
        <v>0.0015569287432568729</v>
      </c>
    </row>
    <row r="66" spans="1:20" ht="12">
      <c r="A66" s="1">
        <v>55.97576014951104</v>
      </c>
      <c r="B66" s="1">
        <v>59.19849486203629</v>
      </c>
      <c r="C66" s="1">
        <f t="shared" si="0"/>
        <v>57.587127505773665</v>
      </c>
      <c r="D66" s="1">
        <f t="shared" si="1"/>
        <v>3.222734712525252</v>
      </c>
      <c r="E66" s="1">
        <f t="shared" si="2"/>
        <v>57.587127505773665</v>
      </c>
      <c r="F66" s="58">
        <f t="shared" si="3"/>
        <v>0.0559627620287562</v>
      </c>
      <c r="O66">
        <v>41.11497211045218</v>
      </c>
      <c r="P66">
        <v>42.509823801688405</v>
      </c>
      <c r="Q66" s="1">
        <f t="shared" si="4"/>
        <v>41.81239795607029</v>
      </c>
      <c r="R66" s="1">
        <f t="shared" si="5"/>
        <v>1.3948516912362265</v>
      </c>
      <c r="S66" s="1">
        <f t="shared" si="6"/>
        <v>41.81239795607029</v>
      </c>
      <c r="T66" s="58">
        <f t="shared" si="7"/>
        <v>0.03335976311862599</v>
      </c>
    </row>
    <row r="67" spans="1:6" ht="12">
      <c r="A67" s="1">
        <v>78.70457896950967</v>
      </c>
      <c r="B67" s="1">
        <v>84.78796507225181</v>
      </c>
      <c r="C67" s="1">
        <f aca="true" t="shared" si="8" ref="C67:C73">(A67+B67)/2</f>
        <v>81.74627202088074</v>
      </c>
      <c r="D67" s="1">
        <f aca="true" t="shared" si="9" ref="D67:D73">B67-A67</f>
        <v>6.083386102742139</v>
      </c>
      <c r="E67" s="1">
        <f aca="true" t="shared" si="10" ref="E67:E73">C67</f>
        <v>81.74627202088074</v>
      </c>
      <c r="F67" s="58">
        <f aca="true" t="shared" si="11" ref="F67:F73">D67/E67</f>
        <v>0.07441790252145368</v>
      </c>
    </row>
    <row r="68" spans="1:6" ht="12">
      <c r="A68" s="1">
        <v>27.101916318908327</v>
      </c>
      <c r="B68" s="1">
        <v>24.874383223930124</v>
      </c>
      <c r="C68" s="1">
        <f t="shared" si="8"/>
        <v>25.988149771419224</v>
      </c>
      <c r="D68" s="1">
        <f t="shared" si="9"/>
        <v>-2.2275330949782024</v>
      </c>
      <c r="E68" s="1">
        <f t="shared" si="10"/>
        <v>25.988149771419224</v>
      </c>
      <c r="F68" s="58">
        <f t="shared" si="11"/>
        <v>-0.08571341609813093</v>
      </c>
    </row>
    <row r="69" spans="1:6" ht="12">
      <c r="A69" s="1">
        <v>39.71915494694399</v>
      </c>
      <c r="B69" s="1">
        <v>38.965777696977106</v>
      </c>
      <c r="C69" s="1">
        <f t="shared" si="8"/>
        <v>39.34246632196054</v>
      </c>
      <c r="D69" s="1">
        <f t="shared" si="9"/>
        <v>-0.7533772499668814</v>
      </c>
      <c r="E69" s="1">
        <f t="shared" si="10"/>
        <v>39.34246632196054</v>
      </c>
      <c r="F69" s="58">
        <f t="shared" si="11"/>
        <v>-0.019149212553213887</v>
      </c>
    </row>
    <row r="70" spans="1:6" ht="12">
      <c r="A70" s="1">
        <v>61.65950018614809</v>
      </c>
      <c r="B70" s="1">
        <v>58.29235717235191</v>
      </c>
      <c r="C70" s="1">
        <f t="shared" si="8"/>
        <v>59.97592867925</v>
      </c>
      <c r="D70" s="1">
        <f t="shared" si="9"/>
        <v>-3.3671430137961735</v>
      </c>
      <c r="E70" s="1">
        <f t="shared" si="10"/>
        <v>59.97592867925</v>
      </c>
      <c r="F70" s="58">
        <f t="shared" si="11"/>
        <v>-0.056141573593692616</v>
      </c>
    </row>
    <row r="71" spans="1:6" ht="12">
      <c r="A71" s="1">
        <v>21.928049353504466</v>
      </c>
      <c r="B71" s="1">
        <v>19.0125506411576</v>
      </c>
      <c r="C71" s="1">
        <f t="shared" si="8"/>
        <v>20.470299997331033</v>
      </c>
      <c r="D71" s="1">
        <f t="shared" si="9"/>
        <v>-2.915498712346867</v>
      </c>
      <c r="E71" s="1">
        <f t="shared" si="10"/>
        <v>20.470299997331033</v>
      </c>
      <c r="F71" s="58">
        <f t="shared" si="11"/>
        <v>-0.14242579311133677</v>
      </c>
    </row>
    <row r="72" spans="1:6" ht="12">
      <c r="A72" s="1">
        <v>33.2659553294004</v>
      </c>
      <c r="B72" s="1">
        <v>29.100333183815554</v>
      </c>
      <c r="C72" s="1">
        <f t="shared" si="8"/>
        <v>31.183144256607974</v>
      </c>
      <c r="D72" s="1">
        <f t="shared" si="9"/>
        <v>-4.165622145584845</v>
      </c>
      <c r="E72" s="1">
        <f t="shared" si="10"/>
        <v>31.183144256607974</v>
      </c>
      <c r="F72" s="58">
        <f t="shared" si="11"/>
        <v>-0.13358569973911832</v>
      </c>
    </row>
    <row r="73" spans="1:6" ht="12">
      <c r="A73" s="1">
        <v>49.7737084978936</v>
      </c>
      <c r="B73" s="1">
        <v>45.67638884148854</v>
      </c>
      <c r="C73" s="1">
        <f t="shared" si="8"/>
        <v>47.72504866969107</v>
      </c>
      <c r="D73" s="1">
        <f t="shared" si="9"/>
        <v>-4.0973196564050625</v>
      </c>
      <c r="E73" s="1">
        <f t="shared" si="10"/>
        <v>47.72504866969107</v>
      </c>
      <c r="F73" s="58">
        <f t="shared" si="11"/>
        <v>-0.08585260299602718</v>
      </c>
    </row>
    <row r="74" spans="3:6" ht="12">
      <c r="C74" s="59" t="s">
        <v>168</v>
      </c>
      <c r="D74" s="61">
        <f>AVERAGE(D2:D73)</f>
        <v>-1.8272711572305544</v>
      </c>
      <c r="E74" s="59" t="s">
        <v>168</v>
      </c>
      <c r="F74" s="58">
        <f>AVERAGE(F2:F73)</f>
        <v>-0.05400311682283298</v>
      </c>
    </row>
    <row r="75" spans="3:6" ht="12">
      <c r="C75" s="59" t="s">
        <v>239</v>
      </c>
      <c r="D75" s="61">
        <f>STDEV(D2:D73)</f>
        <v>2.6705992562989955</v>
      </c>
      <c r="E75" s="59" t="s">
        <v>239</v>
      </c>
      <c r="F75" s="58">
        <f>STDEV(F2:F73)</f>
        <v>0.06924945388570579</v>
      </c>
    </row>
    <row r="77" ht="12">
      <c r="C77" s="1" t="s">
        <v>76</v>
      </c>
    </row>
    <row r="78" ht="12">
      <c r="C78" s="1" t="s">
        <v>243</v>
      </c>
    </row>
    <row r="79" spans="3:4" ht="12">
      <c r="C79" s="1" t="s">
        <v>244</v>
      </c>
      <c r="D79" s="61">
        <f>D74-1.96*D75</f>
        <v>-7.0616456995765855</v>
      </c>
    </row>
    <row r="80" spans="3:4" ht="12">
      <c r="C80" s="1" t="s">
        <v>87</v>
      </c>
      <c r="D80" s="61">
        <f>D74+1.96*D75</f>
        <v>3.4071033851154766</v>
      </c>
    </row>
  </sheetData>
  <sheetProtection password="CD47"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BZ271"/>
  <sheetViews>
    <sheetView zoomScalePageLayoutView="0" workbookViewId="0" topLeftCell="A224">
      <selection activeCell="A74" sqref="A74"/>
    </sheetView>
  </sheetViews>
  <sheetFormatPr defaultColWidth="10.75390625" defaultRowHeight="12.75"/>
  <cols>
    <col min="1" max="1" width="54.375" style="6" bestFit="1" customWidth="1"/>
    <col min="2" max="2" width="24.00390625" style="10" customWidth="1"/>
    <col min="3" max="3" width="12.875" style="91" bestFit="1" customWidth="1"/>
    <col min="4" max="14" width="12.625" style="3" bestFit="1" customWidth="1"/>
    <col min="15" max="26" width="11.125" style="3" bestFit="1" customWidth="1"/>
    <col min="27" max="52" width="11.00390625" style="0" customWidth="1"/>
    <col min="53" max="16384" width="10.75390625" style="3" customWidth="1"/>
  </cols>
  <sheetData>
    <row r="1" spans="1:78" ht="12">
      <c r="A1" s="2" t="s">
        <v>16</v>
      </c>
      <c r="B1" s="10">
        <f>IF('Enter Values'!B1="","",'Enter Values'!B1)</f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</row>
    <row r="2" spans="1:78" s="39" customFormat="1" ht="12">
      <c r="A2" s="9" t="s">
        <v>17</v>
      </c>
      <c r="B2" s="11">
        <f>IF('Enter Values'!B2="","",'Enter Values'!B2)</f>
      </c>
      <c r="C2" s="9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</row>
    <row r="3" spans="1:78" ht="12">
      <c r="A3" s="2" t="s">
        <v>66</v>
      </c>
      <c r="B3" s="10">
        <f>IF('Enter Values'!B3="","",'Enter Values'!B3)</f>
        <v>38633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</row>
    <row r="4" spans="1:78" ht="12">
      <c r="A4" s="6" t="s">
        <v>127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</row>
    <row r="5" spans="1:78" ht="12">
      <c r="A5" s="2" t="s">
        <v>191</v>
      </c>
      <c r="B5" s="10">
        <f>IF('Enter Values'!B4="","",'Enter Values'!B4)</f>
        <v>157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</row>
    <row r="6" spans="1:78" s="4" customFormat="1" ht="12">
      <c r="A6" s="5" t="s">
        <v>29</v>
      </c>
      <c r="B6" s="10">
        <f>IF('Enter Values'!B5="","",'Enter Values'!B5)</f>
        <v>3.44</v>
      </c>
      <c r="C6" s="91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</row>
    <row r="7" spans="1:78" ht="12">
      <c r="A7" s="2" t="s">
        <v>30</v>
      </c>
      <c r="B7" s="10">
        <f>IF('Enter Values'!B6="","",'Enter Values'!B6)</f>
        <v>2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</row>
    <row r="8" spans="1:78" ht="12">
      <c r="A8" s="2" t="s">
        <v>164</v>
      </c>
      <c r="B8" s="10">
        <f>IF('Enter Values'!B7="","",'Enter Values'!B7)</f>
        <v>0.7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</row>
    <row r="9" spans="1:78" ht="12">
      <c r="A9" s="2" t="s">
        <v>165</v>
      </c>
      <c r="B9" s="10">
        <f>IF('Enter Values'!B8="","",'Enter Values'!B8)</f>
        <v>117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</row>
    <row r="10" spans="1:78" ht="12">
      <c r="A10" s="5" t="s">
        <v>119</v>
      </c>
      <c r="B10" s="10">
        <f>IF('Enter Values'!B9="","",'Enter Values'!B9)</f>
        <v>0.9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</row>
    <row r="11" spans="1:78" ht="12">
      <c r="A11" s="5" t="s">
        <v>121</v>
      </c>
      <c r="B11" s="10">
        <f>IF('Enter Values'!B10="","",'Enter Values'!B10)</f>
        <v>0.75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</row>
    <row r="12" spans="1:78" ht="12">
      <c r="A12" s="6" t="s">
        <v>186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</row>
    <row r="13" spans="1:78" ht="12">
      <c r="A13" s="2" t="s">
        <v>114</v>
      </c>
      <c r="B13" s="10">
        <f>IF('Enter Values'!B11="","",'Enter Values'!B11)</f>
        <v>16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</row>
    <row r="14" spans="1:78" s="4" customFormat="1" ht="12">
      <c r="A14" s="2" t="s">
        <v>166</v>
      </c>
      <c r="B14" s="10">
        <f>IF('Enter Values'!B12="","",'Enter Values'!B12)</f>
        <v>50</v>
      </c>
      <c r="C14" s="91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</row>
    <row r="15" spans="1:78" ht="12">
      <c r="A15" s="5" t="s">
        <v>115</v>
      </c>
      <c r="B15" s="10">
        <f>IF('Enter Values'!B13="","",'Enter Values'!B13)</f>
        <v>2.9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</row>
    <row r="16" spans="1:78" ht="12">
      <c r="A16" s="5" t="s">
        <v>125</v>
      </c>
      <c r="B16" s="10">
        <f>IF('Enter Values'!B14="","",'Enter Values'!B14)</f>
        <v>0.3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</row>
    <row r="17" spans="1:78" s="8" customFormat="1" ht="12">
      <c r="A17" s="2" t="s">
        <v>123</v>
      </c>
      <c r="B17" s="10"/>
      <c r="C17" s="91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</row>
    <row r="18" spans="1:78" ht="12">
      <c r="A18" s="7" t="s">
        <v>15</v>
      </c>
      <c r="B18" s="10">
        <f>IF('Enter Values'!B21="","",'Enter Values'!B21)</f>
        <v>7.5</v>
      </c>
      <c r="C18" s="10">
        <f>IF('Enter Values'!C21="","",'Enter Values'!C21)</f>
        <v>7.36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</row>
    <row r="19" spans="1:78" s="4" customFormat="1" ht="12">
      <c r="A19" s="2" t="s">
        <v>18</v>
      </c>
      <c r="B19" s="10">
        <f>IF('Enter Values'!B22="",IF('Enter Values'!B23="","",'Enter Values'!B23*0.133322),'Enter Values'!B22)</f>
        <v>4.9</v>
      </c>
      <c r="C19" s="91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</row>
    <row r="20" spans="1:78" ht="12">
      <c r="A20" s="6" t="s">
        <v>128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</row>
    <row r="21" spans="1:3" ht="12">
      <c r="A21" s="40" t="s">
        <v>51</v>
      </c>
      <c r="B21" s="41">
        <v>7.58578E-07</v>
      </c>
      <c r="C21" s="91"/>
    </row>
    <row r="22" spans="1:3" ht="12">
      <c r="A22" s="42" t="s">
        <v>117</v>
      </c>
      <c r="B22" s="43">
        <v>0.2303</v>
      </c>
      <c r="C22" s="91"/>
    </row>
    <row r="23" spans="1:3" ht="12">
      <c r="A23" s="44" t="s">
        <v>155</v>
      </c>
      <c r="B23" s="67">
        <v>8E-08</v>
      </c>
      <c r="C23" s="91"/>
    </row>
    <row r="24" spans="1:3" ht="12">
      <c r="A24" s="44" t="s">
        <v>151</v>
      </c>
      <c r="B24" s="48">
        <v>80</v>
      </c>
      <c r="C24" s="91"/>
    </row>
    <row r="25" spans="1:78" ht="12">
      <c r="A25" s="45" t="s">
        <v>120</v>
      </c>
      <c r="B25" s="46">
        <v>7.0969100130080545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</row>
    <row r="26" spans="1:78" ht="12">
      <c r="A26" s="47" t="s">
        <v>58</v>
      </c>
      <c r="B26" s="48">
        <v>219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</row>
    <row r="27" spans="1:78" ht="12">
      <c r="A27" s="47" t="s">
        <v>130</v>
      </c>
      <c r="B27" s="48">
        <v>1778.28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</row>
    <row r="28" spans="1:78" ht="12">
      <c r="A28" s="2" t="s">
        <v>47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</row>
    <row r="29" spans="1:78" ht="12">
      <c r="A29" s="2" t="s">
        <v>147</v>
      </c>
      <c r="B29" s="10">
        <f>IF(B7="",1.17,B7)</f>
        <v>2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</row>
    <row r="30" spans="1:78" ht="12">
      <c r="A30" s="2" t="s">
        <v>148</v>
      </c>
      <c r="B30" s="10">
        <f>IF(B8="",0.81,B8)</f>
        <v>0.7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</row>
    <row r="31" spans="1:78" s="60" customFormat="1" ht="12">
      <c r="A31" s="2" t="s">
        <v>60</v>
      </c>
      <c r="B31" s="10">
        <f>IF(B10="",0.89,B10)</f>
        <v>0.9</v>
      </c>
      <c r="C31" s="9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</row>
    <row r="32" spans="1:78" ht="12">
      <c r="A32" s="64" t="s">
        <v>124</v>
      </c>
      <c r="B32" s="65">
        <f>IF(B11="",0.75,B11)</f>
        <v>0.75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</row>
    <row r="33" spans="1:78" ht="12">
      <c r="A33" s="2" t="s">
        <v>149</v>
      </c>
      <c r="B33" s="10">
        <f>IF(B13="",45.5,B13)</f>
        <v>16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</row>
    <row r="34" spans="1:78" ht="12">
      <c r="A34" s="2" t="s">
        <v>150</v>
      </c>
      <c r="B34" s="10">
        <f>IF(B14="",76.9,B14)</f>
        <v>50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</row>
    <row r="35" spans="1:78" ht="12">
      <c r="A35" s="2" t="s">
        <v>59</v>
      </c>
      <c r="B35" s="10">
        <f>IF(B15="",1.2,B15)</f>
        <v>2.9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</row>
    <row r="36" spans="1:78" ht="13.5" customHeight="1">
      <c r="A36" s="2" t="s">
        <v>126</v>
      </c>
      <c r="B36" s="10">
        <f>IF(B16="",0.3,B16)</f>
        <v>0.3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</row>
    <row r="37" spans="1:78" ht="12">
      <c r="A37" s="6" t="s">
        <v>49</v>
      </c>
      <c r="B37" s="11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</row>
    <row r="38" spans="1:78" ht="12">
      <c r="A38" s="6" t="s">
        <v>12</v>
      </c>
      <c r="B38" s="11">
        <f>IF(B5="",0,1)</f>
        <v>1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</row>
    <row r="39" spans="1:78" ht="12">
      <c r="A39" s="6" t="s">
        <v>13</v>
      </c>
      <c r="B39" s="11">
        <f>IF(B6="",0,1)</f>
        <v>1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</row>
    <row r="40" spans="1:78" ht="12">
      <c r="A40" s="6" t="s">
        <v>178</v>
      </c>
      <c r="B40" s="11">
        <f>IF(B9="",0,1)</f>
        <v>1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</row>
    <row r="41" spans="1:78" ht="12">
      <c r="A41" s="6" t="s">
        <v>179</v>
      </c>
      <c r="B41" s="11">
        <f>IF(B18="",0,1)</f>
        <v>1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</row>
    <row r="42" spans="1:78" ht="12">
      <c r="A42" s="6" t="s">
        <v>180</v>
      </c>
      <c r="B42" s="11">
        <f>IF(B19="",0,1)</f>
        <v>1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</row>
    <row r="43" spans="1:78" ht="12">
      <c r="A43" s="6" t="s">
        <v>98</v>
      </c>
      <c r="B43" s="11">
        <f>B38*B39*B40*B41*B42</f>
        <v>1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</row>
    <row r="44" spans="1:78" ht="12">
      <c r="A44" s="6" t="s">
        <v>50</v>
      </c>
      <c r="B44" s="11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</row>
    <row r="45" spans="1:78" ht="12">
      <c r="A45" s="6" t="s">
        <v>99</v>
      </c>
      <c r="B45" s="11">
        <f>IF(B13="",0,1)</f>
        <v>1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</row>
    <row r="46" spans="1:78" ht="12">
      <c r="A46" s="6" t="s">
        <v>100</v>
      </c>
      <c r="B46" s="11">
        <f>IF(B14="",0,1)</f>
        <v>1</v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</row>
    <row r="47" spans="1:3" ht="12">
      <c r="A47" s="6" t="s">
        <v>39</v>
      </c>
      <c r="B47" s="11">
        <f>IF(B15="",0,1)</f>
        <v>1</v>
      </c>
      <c r="C47" s="91"/>
    </row>
    <row r="48" spans="1:3" ht="12">
      <c r="A48" s="6" t="s">
        <v>129</v>
      </c>
      <c r="B48" s="11">
        <f>IF(B16="",0,1)</f>
        <v>1</v>
      </c>
      <c r="C48" s="91"/>
    </row>
    <row r="49" spans="1:78" ht="12">
      <c r="A49" s="6" t="s">
        <v>40</v>
      </c>
      <c r="B49" s="11">
        <f>B45*B46*B47*B48</f>
        <v>1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</row>
    <row r="50" spans="1:78" s="55" customFormat="1" ht="12">
      <c r="A50" s="6" t="s">
        <v>48</v>
      </c>
      <c r="B50" s="11">
        <f>IF(B45+B46&gt;0,1,0)</f>
        <v>1</v>
      </c>
      <c r="C50" s="9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</row>
    <row r="51" spans="1:78" ht="24" customHeight="1">
      <c r="A51" s="66" t="s">
        <v>131</v>
      </c>
      <c r="B51" s="11">
        <f>IF(B45=1,IF(B46=1,1,2),IF(B46=1,3,4))</f>
        <v>1</v>
      </c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</row>
    <row r="52" spans="1:78" ht="12">
      <c r="A52" s="49" t="s">
        <v>187</v>
      </c>
      <c r="B52" s="50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</row>
    <row r="53" spans="1:78" ht="12">
      <c r="A53" s="49" t="s">
        <v>154</v>
      </c>
      <c r="B53" s="50">
        <f>IF(B43=1,IF(B51=1,0.0683456*B13+0.0298464*(B14-B13),IF(B51=2,0.09*B13,IF(B51=3,0.052*B14,4.0469))),"")</f>
        <v>2.1083072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</row>
    <row r="54" spans="1:78" ht="12">
      <c r="A54" s="49" t="s">
        <v>132</v>
      </c>
      <c r="B54" s="50">
        <f>IF(B43=1,B5+B6+B29*3+B30*3-B9-B31-B35-B32*3-B53,"")</f>
        <v>43.381692799999996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</row>
    <row r="55" spans="1:78" ht="12">
      <c r="A55" s="49" t="s">
        <v>118</v>
      </c>
      <c r="B55" s="50">
        <f>IF(B43=1,IF(B51=1,0.244881*B13+0.106939*(B14-B13)+B35*2+B36,IF(B51=2,0.318681*B13+B35*2+B36,IF(B51=3,0.188557*B14+B35*2+B36,14.5+B35*2+B36))),"")</f>
        <v>13.654022000000001</v>
      </c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</row>
    <row r="56" spans="1:78" s="56" customFormat="1" ht="12">
      <c r="A56" s="94" t="s">
        <v>240</v>
      </c>
      <c r="B56" s="95">
        <f>IF(B43=1,10^-B18,"")</f>
        <v>3.16227766016837E-08</v>
      </c>
      <c r="C56" s="9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</row>
    <row r="57" spans="1:78" s="4" customFormat="1" ht="12">
      <c r="A57" s="96" t="s">
        <v>77</v>
      </c>
      <c r="B57" s="48">
        <f>IF(B43=1,10^(9-B18),"")</f>
        <v>31.622776601683803</v>
      </c>
      <c r="C57" s="9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</row>
    <row r="58" spans="1:3" ht="12">
      <c r="A58" s="68" t="s">
        <v>185</v>
      </c>
      <c r="B58" s="50">
        <f>IF(B43=1,$B$22*B19*$B$21/B56,"")</f>
        <v>27.070125006493644</v>
      </c>
      <c r="C58" s="91"/>
    </row>
    <row r="59" spans="1:78" ht="12">
      <c r="A59" s="49" t="s">
        <v>14</v>
      </c>
      <c r="B59" s="50">
        <f>IF(B43=1,IF(B51=1,(0.244881*B13+0.106939*(B14-B13))/(1+B57/$B$24),IF(B51=2,0.318681*B13/(1+B57/$B$24),IF(B51=3,0.188557*B14/(1+B57/$B$24),14.5/(1+B57/$B$24)))),"")</f>
        <v>5.413964590367339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</row>
    <row r="60" spans="1:78" ht="12">
      <c r="A60" s="49" t="s">
        <v>175</v>
      </c>
      <c r="B60" s="50">
        <f>IF(B43=1,B35*2/(1+B57/$B$26),"")</f>
        <v>5.068174637689599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</row>
    <row r="61" spans="1:78" ht="12">
      <c r="A61" s="49" t="s">
        <v>176</v>
      </c>
      <c r="B61" s="50">
        <f>IF(B43=1,B36/(1+B57/$B$27),"")</f>
        <v>0.2947583742601258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</row>
    <row r="62" spans="1:3" ht="12">
      <c r="A62" s="50" t="s">
        <v>144</v>
      </c>
      <c r="B62" s="50">
        <f>IF(B43=1,B58+B59+B60+B61-B54,"")</f>
        <v>-5.534670191189285</v>
      </c>
      <c r="C62" s="91"/>
    </row>
    <row r="63" spans="1:78" ht="12">
      <c r="A63" s="50" t="s">
        <v>241</v>
      </c>
      <c r="B63" s="50">
        <f>IF(B43=1,IF(B49=1,B58+B59+B60+B61-B54,B55/(1+B57/$B$24)+B58-B54),"")</f>
        <v>-5.534670191189285</v>
      </c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</row>
    <row r="64" spans="1:78" s="51" customFormat="1" ht="12">
      <c r="A64" s="54" t="s">
        <v>242</v>
      </c>
      <c r="B64" s="54">
        <f>IF(B43=1,10^9*($B21*$B22*B19+$B23*B55-$B23*B54+SQRT(($B21*$B22*B19+$B23*B54+$B23*B55)^2-4*$B23^2*B54*B55))/(2*B54),"")</f>
        <v>25.888653378058798</v>
      </c>
      <c r="C64" s="91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</row>
    <row r="65" spans="1:78" ht="12">
      <c r="A65" s="50" t="s">
        <v>156</v>
      </c>
      <c r="B65" s="46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</row>
    <row r="66" spans="1:78" s="53" customFormat="1" ht="12">
      <c r="A66" s="50" t="s">
        <v>67</v>
      </c>
      <c r="B66" s="54">
        <f>IF(B43=1,ROUND((10^9*($B21*$B22*B19+$B23*B55-$B23*B69+SQRT(($B21*$B22*B19+$B23*B69+$B23*B55)^2-4*$B23^2*B69*B55))/(2*B69))-(10^9*($B21*$B22*5.33+$B23*B55-$B23*B69+SQRT(($B21*$B22*5.33+$B23*B69+$B23*B55)^2-4*$B23^2*B69*B55))/(2*B69)),0),"")</f>
        <v>-2</v>
      </c>
      <c r="C66" s="91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</row>
    <row r="67" spans="1:78" s="53" customFormat="1" ht="12">
      <c r="A67" s="52" t="s">
        <v>68</v>
      </c>
      <c r="B67" s="54">
        <f>IF(B43=1,ROUND((10^9*($B21*$B22*B19+$B23*B55-$B23*B54+SQRT(($B21*$B22*B19+$B23*B54+$B23*B55)^2-4*$B23^2*B54*B55))/(2*B54))-(10^9*($B21*$B22*B19+$B23*B55-$B23*34.755+SQRT(($B21*$B22*B19+$B23*34.755+$B23*B55)^2-4*$B23^2*34.755*B55))/(2*34.755)),0),"")</f>
        <v>-8</v>
      </c>
      <c r="C67" s="91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</row>
    <row r="68" spans="1:78" s="51" customFormat="1" ht="12">
      <c r="A68" s="52" t="s">
        <v>238</v>
      </c>
      <c r="B68" s="54">
        <f>IF(B43=1,ROUND((10^9*($B21*$B22*B19+$B23*B55-$B23*B69+SQRT(($B21*$B22*B19+$B23*B69+$B23*B55)^2-4*$B23^2*B69*B55))/(2*B69))-(10^9*($B21*$B22*B19+$B23*17.2-$B23*B69+SQRT(($B21*$B22*B19+$B23*B69+$B23*17.2)^2-4*$B23^2*B69*17.2))/(2*B69)),0),"")</f>
        <v>-3</v>
      </c>
      <c r="C68" s="91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</row>
    <row r="69" spans="1:3" ht="12">
      <c r="A69" s="49" t="s">
        <v>78</v>
      </c>
      <c r="B69" s="50">
        <f>IF(B43=1,IF(B50=1,B54+B62,B54),"")</f>
        <v>37.84702260881071</v>
      </c>
      <c r="C69" s="91"/>
    </row>
    <row r="70" spans="1:78" ht="12">
      <c r="A70" s="6" t="s">
        <v>157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</row>
    <row r="71" spans="1:78" ht="12">
      <c r="A71" s="6" t="s">
        <v>159</v>
      </c>
      <c r="B71" s="10" t="str">
        <f>(IF(B72="Arterial",IF(B57&gt;50,"SEVERE ACIDAEMIA",IF(B57&gt;47,"MODERATE ACIDAEMIA",IF(B57&gt;44,"MILD ACIDAEMIA",IF(B57&gt;36,"NORMAL ACIDITY",IF(B57&gt;34,"MILD ALKALAEMIA",IF(B57&gt;32,"MODERATE ALKALAEMIA","SEVERE ALKALAEMIA")))))),IF(B72="Venous",IF(B57&gt;60,"SEVERE ACIDAEMIA",IF(B57&gt;55,"MODERATE ACIDAEMIA",IF(B57&gt;50,"MILD ACIDAEMIA",IF(B57&gt;42,"NORMAL ACIDITY",IF(B57&gt;40,"MILD ALKALAEMIA",IF(B57&gt;38,"MODERATE ALKALAEMIA","SEVERE ALKALAEMIA")))))),"SPECIMEN TYPE NOT STATED")))</f>
        <v>SEVERE ALKALAEMIA</v>
      </c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</row>
    <row r="72" spans="1:78" ht="12">
      <c r="A72" s="6" t="s">
        <v>158</v>
      </c>
      <c r="B72" s="10" t="str">
        <f>IF('Enter Values'!B18="","? TYPE",'Enter Values'!B18)</f>
        <v>Arterial</v>
      </c>
      <c r="C72" s="10" t="str">
        <f>IF('Enter Values'!C18="","? TYPE",'Enter Values'!C18)</f>
        <v>Central venous</v>
      </c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</row>
    <row r="73" spans="1:78" s="51" customFormat="1" ht="37.5">
      <c r="A73" s="6" t="s">
        <v>160</v>
      </c>
      <c r="B73" s="5" t="str">
        <f>IF(B43=1,IF(B54&gt;38.9322,"SEVERE MEASURED STRONG ION ALKALOSIS"&amp;" BIASES ACIDITY BY "&amp;B67&amp;" nmol/L",IF(B54&gt;37.6523,"MODERATE MEASURED STRONG ION ALKALOSIS"&amp;" BIASES ACIDITY BY "&amp;B67&amp;" nmol/L",IF(B54&gt;36.3723,"MILD MEASURED STRONG ION ALKALOSIS"&amp;" BIASES ACIDITY BY "&amp;B67&amp;" nmol/L",IF(B54&gt;33.8123,"NORMAL MEASURED SID. DEVIATION FROM 35 mEq/L "&amp;" BIASES ACIDITY BY "&amp;B67&amp;" nmol/L",IF(B54&gt;32.5323,"MILD MEASURED STRONG ION ACIDOSIS"&amp;" BIASES ACIDITY BY +"&amp;B67&amp;" nmol/L",IF(B54&gt;31.2524,"MODERATE MEASURED STRONG ION ACIDOSIS"&amp;" BIASES ACIDITY BY +"&amp;B67&amp;" nmol/L","SEVERE MEASURED STRONG ION ACIDOSIS"&amp;" BIASES ACIDITY BY +"&amp;B67&amp;" nmol/L")))))),"")</f>
        <v>SEVERE MEASURED STRONG ION ALKALOSIS BIASES ACIDITY BY -8 nmol/L</v>
      </c>
      <c r="C73" s="91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</row>
    <row r="74" spans="1:78" s="51" customFormat="1" ht="37.5">
      <c r="A74" s="6" t="s">
        <v>161</v>
      </c>
      <c r="B74" s="5" t="str">
        <f>IF(B50=1,IF(B55&gt;17.6398,"SEVERE MEASURED WEAK ACID ACIDOSIS"&amp;" BIASES ACIDITY BY +"&amp;B68&amp;" nmol/L",IF(B55&gt;17.4932,"MODERATE MEASURED WEAK ACID ACIDOSIS"&amp;" BIASES ACIDITY BY +"&amp;B68&amp;" nmol/L",IF(B55&gt;17.3466,"MILD MEASURED WEAK ACID ACIDOSIS"&amp;" BIASES ACIDITY BY +"&amp;B68&amp;" nmol/L",IF(B55&gt;17.0534,"NORMAL MEASURED Atot. DEVIATION FROM 17 mmol/L "&amp;" BIASES ACIDITY BY "&amp;B68&amp;" nmol/L",IF(B55&gt;16.9068,"MILD MEASURED WEAK ACID ALKALOSIS"&amp;" BIASES ACIDITY BY "&amp;B68&amp;" nmol/L",IF(B55&gt;16.7602,"MODERATE MEASURED WEAK ACID ALKALOSIS"&amp;" BIASES ACIDITY BY "&amp;B68&amp;" nmol/L","SEVERE MEASURED WEAK ACID ALKALOSIS"&amp;" BIASES ACIDITY BY "&amp;B68&amp;" nmol/L")))))),"PROTEINS NOT MEASURED: CALCULATED NUI MAY BE INACCURATE")</f>
        <v>SEVERE MEASURED WEAK ACID ALKALOSIS BIASES ACIDITY BY -3 nmol/L</v>
      </c>
      <c r="C74" s="91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</row>
    <row r="75" spans="1:78" s="51" customFormat="1" ht="37.5">
      <c r="A75" s="6" t="s">
        <v>162</v>
      </c>
      <c r="B75" s="5" t="str">
        <f>IF(B43=1,IF(B72="Arterial",IF(B19&gt;5.80965,"SEVERE RESPIRATORY ACIDOSIS"&amp;" BIASES ACIDITY BY +"&amp;B66&amp;" nmol/L",IF(B19&gt;5.64974,"MODERATE RESPIRATORY ACIDOSIS"&amp;" BIASES ACIDITY BY +"&amp;B66&amp;" nmol/L",IF(B19&gt;5.48983,"MILD RESPIRATORY ACIDOSIS"&amp;" BIASES ACIDITY BY +"&amp;B66&amp;" nmol/L",IF(B19&gt;5.17001,"NORMAL PCO2"&amp;". DEVIATION FROM 5.3 kPa BIASES ACIDITY BY "&amp;B66&amp;" nmol/L",IF(B19&gt;5.0101,"MILD RESPIRATORY ALKALOSIS"&amp;" BIASES ACIDITY BY "&amp;B66&amp;" nmol/L",IF(B19&gt;4.85019,"MODERATE RESPIRATORY ALKALOSIS"&amp;" BIASES ACIDITY BY "&amp;B66&amp;" nmol/L","SEVERE RESPIRATORY ALKALOSIS"&amp;" BIASES ACIDITY BY "&amp;B66&amp;" nmol/L")))))),IF(B72="VENOUS","VENOUS SAMPLE, PCO2 = "&amp;ROUND(B19,1)&amp;" kPa. DEVIATION FROM 5.3kPa BIASES ACIDITY BY "&amp;B66&amp;" nmol/L","SPECIMEN NOT LABELLED ARTERIAL. PCO2 = "&amp;ROUND(B19,1)&amp;" kPa. DEVIATION FROM 5.3kPa BIASES ACIDITY BY "&amp;B66&amp;" nmol/L")),"")</f>
        <v>MODERATE RESPIRATORY ALKALOSIS BIASES ACIDITY BY -2 nmol/L</v>
      </c>
      <c r="C75" s="91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</row>
    <row r="76" spans="1:78" ht="12">
      <c r="A76" s="6" t="s">
        <v>145</v>
      </c>
      <c r="B76" s="10" t="str">
        <f>IF(B50=0,"",IF(B62&gt;6,"LARGE CONCENTRATION OF UNMEASURED CATIONS. CONSIDER LAB ERROR OR PARAPROTEINAEMIA",IF(B62&gt;4,"MODERATE CONCENTRATION OF UNMEASURED CATIONS. CONSIDER LAB ERROR OR PARAPROTEINAEMIA",IF(B62&gt;2,"SMALL CONCENTRATION OF UNMEASURED CATIONS. CONSIDER LAB ERROR OR PARAPROTEINAEMIA",IF(B62&gt;-3,"NORMAL NUI",IF(B62&gt;-6,"SMALL CONCENTRATION OF UNMEASURED ANIONS INDICATES MILD UNMEASURED COMPONENT OF METABOLIC ACIDOSIS",IF(B62&gt;-9,"MODERATE CONCENTRATION OF UNMEASURED ANIONS INDICATES MODERATE UNMEASURED COMPONENT OF METABOLIC ACIDOSIS","LARGE CONCENTRATION OF UNMEASURED ANIONS INDICATES SEVERE UNMEASURED COMPONENT OF METABOLIC ACIDOSIS")))))))</f>
        <v>SMALL CONCENTRATION OF UNMEASURED ANIONS INDICATES MILD UNMEASURED COMPONENT OF METABOLIC ACIDOSIS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</row>
    <row r="77" spans="1:26" ht="12">
      <c r="A77" s="6" t="s">
        <v>133</v>
      </c>
      <c r="B77" s="11">
        <f>IF('Enter Values'!B15="",IF('Enter Values'!B16="","",'Enter Values'!B16*12*0.0254),'Enter Values'!B15)</f>
        <v>24</v>
      </c>
      <c r="C77" s="11">
        <f>B77</f>
        <v>24</v>
      </c>
      <c r="D77" s="11">
        <f>IF('Enter Values'!D15="",IF('Enter Values'!D16="","",'Enter Values'!D16*12*0.0254),'Enter Values'!D15)</f>
      </c>
      <c r="E77" s="11">
        <f>IF('Enter Values'!E15="",IF('Enter Values'!E16="","",'Enter Values'!E16*12*0.0254),'Enter Values'!E15)</f>
      </c>
      <c r="F77" s="11">
        <f>IF('Enter Values'!F15="",IF('Enter Values'!F16="","",'Enter Values'!F16*12*0.0254),'Enter Values'!F15)</f>
      </c>
      <c r="G77" s="11">
        <f>IF('Enter Values'!G15="",IF('Enter Values'!G16="","",'Enter Values'!G16*12*0.0254),'Enter Values'!G15)</f>
      </c>
      <c r="H77" s="11">
        <f>IF('Enter Values'!H15="",IF('Enter Values'!H16="","",'Enter Values'!H16*12*0.0254),'Enter Values'!H15)</f>
      </c>
      <c r="I77" s="11">
        <f>IF('Enter Values'!I15="",IF('Enter Values'!I16="","",'Enter Values'!I16*12*0.0254),'Enter Values'!I15)</f>
      </c>
      <c r="J77" s="11">
        <f>IF('Enter Values'!J15="",IF('Enter Values'!J16="","",'Enter Values'!J16*12*0.0254),'Enter Values'!J15)</f>
      </c>
      <c r="K77" s="11">
        <f>IF('Enter Values'!K15="",IF('Enter Values'!K16="","",'Enter Values'!K16*12*0.0254),'Enter Values'!K15)</f>
      </c>
      <c r="L77" s="11">
        <f>IF('Enter Values'!L15="",IF('Enter Values'!L16="","",'Enter Values'!L16*12*0.0254),'Enter Values'!L15)</f>
      </c>
      <c r="M77" s="11">
        <f>IF('Enter Values'!M15="",IF('Enter Values'!M16="","",'Enter Values'!M16*12*0.0254),'Enter Values'!M15)</f>
      </c>
      <c r="N77" s="11">
        <f>IF('Enter Values'!N15="",IF('Enter Values'!N16="","",'Enter Values'!N16*12*0.0254),'Enter Values'!N15)</f>
      </c>
      <c r="O77" s="11">
        <f>IF('Enter Values'!O15="",IF('Enter Values'!O16="","",'Enter Values'!O16*12*0.0254),'Enter Values'!O15)</f>
      </c>
      <c r="P77" s="11">
        <f>IF('Enter Values'!P15="",IF('Enter Values'!P16="","",'Enter Values'!P16*12*0.0254),'Enter Values'!P15)</f>
      </c>
      <c r="Q77" s="11">
        <f>IF('Enter Values'!Q15="",IF('Enter Values'!Q16="","",'Enter Values'!Q16*12*0.0254),'Enter Values'!Q15)</f>
      </c>
      <c r="R77" s="11">
        <f>IF('Enter Values'!R15="",IF('Enter Values'!R16="","",'Enter Values'!R16*12*0.0254),'Enter Values'!R15)</f>
      </c>
      <c r="S77" s="11">
        <f>IF('Enter Values'!S15="",IF('Enter Values'!S16="","",'Enter Values'!S16*12*0.0254),'Enter Values'!S15)</f>
      </c>
      <c r="T77" s="11">
        <f>IF('Enter Values'!T15="",IF('Enter Values'!T16="","",'Enter Values'!T16*12*0.0254),'Enter Values'!T15)</f>
      </c>
      <c r="U77" s="11">
        <f>IF('Enter Values'!U15="",IF('Enter Values'!U16="","",'Enter Values'!U16*12*0.0254),'Enter Values'!U15)</f>
      </c>
      <c r="V77" s="11">
        <f>IF('Enter Values'!V15="",IF('Enter Values'!V16="","",'Enter Values'!V16*12*0.0254),'Enter Values'!V15)</f>
      </c>
      <c r="W77" s="11">
        <f>IF('Enter Values'!W15="",IF('Enter Values'!W16="","",'Enter Values'!W16*12*0.0254),'Enter Values'!W15)</f>
      </c>
      <c r="X77" s="11">
        <f>IF('Enter Values'!X15="",IF('Enter Values'!X16="","",'Enter Values'!X16*12*0.0254),'Enter Values'!X15)</f>
      </c>
      <c r="Y77" s="11">
        <f>IF('Enter Values'!Y15="",IF('Enter Values'!Y16="","",'Enter Values'!Y16*12*0.0254),'Enter Values'!Y15)</f>
      </c>
      <c r="Z77" s="11">
        <f>IF('Enter Values'!Z15="",IF('Enter Values'!Z16="","",'Enter Values'!Z16*12*0.0254),'Enter Values'!Z15)</f>
      </c>
    </row>
    <row r="78" spans="1:3" ht="12">
      <c r="A78" s="11" t="s">
        <v>3</v>
      </c>
      <c r="B78" s="101">
        <f>IF(B77="",101.3,101.247-0.0118045*B77+5.13178*10^-7*(B77^2)-8.12955*10^-12*(B77^3))</f>
        <v>100.9639874781451</v>
      </c>
      <c r="C78" s="11">
        <f>B78</f>
        <v>100.9639874781451</v>
      </c>
    </row>
    <row r="79" spans="1:3" ht="12">
      <c r="A79" s="11" t="s">
        <v>61</v>
      </c>
      <c r="B79" s="10">
        <f>(B78-6.3)*'Enter Values'!B26/100</f>
        <v>19.87943737041047</v>
      </c>
      <c r="C79" s="10"/>
    </row>
    <row r="80" spans="1:3" ht="12">
      <c r="A80" s="6" t="s">
        <v>227</v>
      </c>
      <c r="B80" s="10">
        <f>IF('Enter Values'!B18="Arterial",B79-B19/(B84/100+(1-B84/100)*0.8),"")</f>
        <v>14.059959935731136</v>
      </c>
      <c r="C80" s="10"/>
    </row>
    <row r="81" spans="1:26" ht="12">
      <c r="A81" s="6" t="s">
        <v>36</v>
      </c>
      <c r="B81" s="10">
        <f>IF('Enter Values'!B27="",'Enter Values'!B28*0.133322,'Enter Values'!B27)</f>
        <v>9.4</v>
      </c>
      <c r="C81" s="10">
        <f>IF('Enter Values'!C27="",'Enter Values'!C28*0.133322,'Enter Values'!C27)</f>
        <v>5.3</v>
      </c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ht="12">
      <c r="A82" s="11" t="s">
        <v>135</v>
      </c>
      <c r="B82" s="97">
        <f>IF(B72="Arterial",B81,"")</f>
        <v>9.4</v>
      </c>
      <c r="C82" s="97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ht="12">
      <c r="A83" s="11" t="s">
        <v>62</v>
      </c>
      <c r="B83" s="98">
        <f>IF(B72="Arterial",IF(B84="","",B80-B82),"")</f>
        <v>4.659959935731136</v>
      </c>
      <c r="C83" s="98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ht="12">
      <c r="A84" s="11" t="s">
        <v>134</v>
      </c>
      <c r="B84" s="97">
        <f>IF('Enter Values'!B26="","",'Enter Values'!B26)</f>
        <v>21</v>
      </c>
      <c r="C84" s="97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ht="12">
      <c r="A85" s="11" t="s">
        <v>73</v>
      </c>
      <c r="B85" s="98">
        <f>B5+B6-B9-B58</f>
        <v>16.369874993506354</v>
      </c>
      <c r="C85" s="98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ht="12">
      <c r="A86" s="11" t="s">
        <v>181</v>
      </c>
      <c r="B86" s="101">
        <f>IF('Calculation (2)'!B81&lt;10,ROUND(B81,1),ROUND(B81,0))</f>
        <v>9.4</v>
      </c>
      <c r="C86" s="101">
        <f>IF('Calculation (2)'!C81&lt;10,ROUND(C81,1),ROUND(C81,0))</f>
        <v>5.3</v>
      </c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52" s="121" customFormat="1" ht="12">
      <c r="A87" s="118" t="s">
        <v>88</v>
      </c>
      <c r="B87" s="119">
        <f>IF(B83="","",IF(B83&lt;10,ROUND(B83,1),ROUND(B83,0)))</f>
        <v>4.7</v>
      </c>
      <c r="C87" s="119"/>
      <c r="D87" s="119">
        <f aca="true" t="shared" si="0" ref="D87:Z87">IF(D83="","",IF(D83&lt;10,ROUND(D83,1),ROUND(D83,0)))</f>
      </c>
      <c r="E87" s="119">
        <f t="shared" si="0"/>
      </c>
      <c r="F87" s="119">
        <f t="shared" si="0"/>
      </c>
      <c r="G87" s="119">
        <f t="shared" si="0"/>
      </c>
      <c r="H87" s="119">
        <f t="shared" si="0"/>
      </c>
      <c r="I87" s="119">
        <f t="shared" si="0"/>
      </c>
      <c r="J87" s="119">
        <f t="shared" si="0"/>
      </c>
      <c r="K87" s="119">
        <f t="shared" si="0"/>
      </c>
      <c r="L87" s="119">
        <f t="shared" si="0"/>
      </c>
      <c r="M87" s="119">
        <f t="shared" si="0"/>
      </c>
      <c r="N87" s="119">
        <f t="shared" si="0"/>
      </c>
      <c r="O87" s="119">
        <f t="shared" si="0"/>
      </c>
      <c r="P87" s="119">
        <f t="shared" si="0"/>
      </c>
      <c r="Q87" s="119">
        <f t="shared" si="0"/>
      </c>
      <c r="R87" s="119">
        <f t="shared" si="0"/>
      </c>
      <c r="S87" s="119">
        <f t="shared" si="0"/>
      </c>
      <c r="T87" s="119">
        <f t="shared" si="0"/>
      </c>
      <c r="U87" s="119">
        <f t="shared" si="0"/>
      </c>
      <c r="V87" s="119">
        <f t="shared" si="0"/>
      </c>
      <c r="W87" s="119">
        <f t="shared" si="0"/>
      </c>
      <c r="X87" s="119">
        <f t="shared" si="0"/>
      </c>
      <c r="Y87" s="119">
        <f t="shared" si="0"/>
      </c>
      <c r="Z87" s="119">
        <f t="shared" si="0"/>
      </c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</row>
    <row r="88" spans="1:77" ht="12">
      <c r="A88" s="11" t="s">
        <v>91</v>
      </c>
      <c r="B88" s="101">
        <f>IF($B$72="Arterial",1.36*$B$118*B106/100+B119*$B$80,"")</f>
        <v>134.35268450432446</v>
      </c>
      <c r="C88" s="101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</row>
    <row r="89" spans="1:77" ht="12">
      <c r="A89" s="11" t="s">
        <v>92</v>
      </c>
      <c r="B89" s="101">
        <f>IF(B$72="Arterial",1.36*B118*B114/100+0.23*B82,"")</f>
        <v>129.44834485128567</v>
      </c>
      <c r="C89" s="101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</row>
    <row r="90" spans="1:77" ht="12">
      <c r="A90" s="11" t="s">
        <v>93</v>
      </c>
      <c r="B90" s="101">
        <f>B89-49.7</f>
        <v>79.74834485128567</v>
      </c>
      <c r="C90" s="101">
        <f>IF(B265=1,1.36*$B$118*C264/100+0.23*C81,"")</f>
        <v>99.66349738510816</v>
      </c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</row>
    <row r="91" spans="1:77" ht="12">
      <c r="A91" s="6" t="s">
        <v>139</v>
      </c>
      <c r="B91" s="10">
        <f>B88-B89</f>
        <v>4.9043396530387895</v>
      </c>
      <c r="C91" s="10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</row>
    <row r="92" spans="1:77" ht="12">
      <c r="A92" s="6" t="s">
        <v>140</v>
      </c>
      <c r="B92" s="10">
        <f>B88-B90</f>
        <v>54.60433965303879</v>
      </c>
      <c r="C92" s="101">
        <f>B88-C90</f>
        <v>34.6891871192163</v>
      </c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</row>
    <row r="93" spans="1:77" ht="12">
      <c r="A93" s="6" t="s">
        <v>2</v>
      </c>
      <c r="C93" s="122">
        <f>100*B91/(B88-C90)</f>
        <v>14.137949200666045</v>
      </c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</row>
    <row r="94" spans="1:77" ht="12">
      <c r="A94" s="11" t="s">
        <v>137</v>
      </c>
      <c r="B94" s="107">
        <f>IF($B$72="Arterial",(B91/B92)*100)</f>
        <v>8.981593192411875</v>
      </c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</row>
    <row r="95" spans="1:77" ht="12">
      <c r="A95" s="11" t="s">
        <v>138</v>
      </c>
      <c r="B95" s="107">
        <f>B94+6.5</f>
        <v>15.481593192411875</v>
      </c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</row>
    <row r="96" spans="1:77" ht="12">
      <c r="A96" s="6" t="s">
        <v>225</v>
      </c>
      <c r="B96" s="113" t="s">
        <v>226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</row>
    <row r="97" spans="1:77" ht="12">
      <c r="A97" s="6" t="s">
        <v>200</v>
      </c>
      <c r="B97" s="113">
        <v>1.875</v>
      </c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</row>
    <row r="98" spans="1:77" ht="12">
      <c r="A98" s="6" t="s">
        <v>10</v>
      </c>
      <c r="B98" s="113">
        <f>1.946+B102+B103</f>
        <v>1.814326649044054</v>
      </c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</row>
    <row r="99" spans="1:77" ht="12">
      <c r="A99" s="6" t="s">
        <v>207</v>
      </c>
      <c r="B99" s="113">
        <f>2.87+B102*$B$101</f>
        <v>2.799646928584238</v>
      </c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</row>
    <row r="100" spans="1:77" ht="12">
      <c r="A100" s="6" t="s">
        <v>208</v>
      </c>
      <c r="B100" s="113">
        <f>3.5+B102</f>
        <v>3.3683266490440538</v>
      </c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</row>
    <row r="101" spans="1:77" ht="12">
      <c r="A101" s="6" t="s">
        <v>202</v>
      </c>
      <c r="B101" s="113">
        <v>0.5343</v>
      </c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</row>
    <row r="102" spans="1:77" ht="12">
      <c r="A102" s="6" t="s">
        <v>209</v>
      </c>
      <c r="B102" s="113">
        <f>1.04*(7.4-$B$18)+0.005*$B$62</f>
        <v>-0.13167335095594607</v>
      </c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</row>
    <row r="103" spans="1:77" ht="12">
      <c r="A103" s="6" t="s">
        <v>210</v>
      </c>
      <c r="B103" s="113">
        <f>0.055*(B117-37)</f>
        <v>0</v>
      </c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</row>
    <row r="104" spans="1:77" ht="12">
      <c r="A104" s="6" t="s">
        <v>203</v>
      </c>
      <c r="B104" s="113">
        <f>LN($B$80)</f>
        <v>2.6433310368572025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</row>
    <row r="105" spans="1:77" ht="12">
      <c r="A105" s="6" t="s">
        <v>211</v>
      </c>
      <c r="B105" s="113">
        <f>B97+B104-B98+B100*TANH((B101*(B104-B98)))</f>
        <v>4.105484240265977</v>
      </c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</row>
    <row r="106" spans="1:77" ht="12">
      <c r="A106" s="6" t="s">
        <v>206</v>
      </c>
      <c r="B106" s="113">
        <f>100/(2.718281828^-B105+1)</f>
        <v>98.37852169800894</v>
      </c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</row>
    <row r="107" spans="1:77" ht="12">
      <c r="A107" s="6" t="s">
        <v>212</v>
      </c>
      <c r="B107" s="113">
        <f>2.87+B110*$B101</f>
        <v>2.87</v>
      </c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</row>
    <row r="108" spans="1:77" ht="12">
      <c r="A108" s="6" t="s">
        <v>216</v>
      </c>
      <c r="B108" s="113">
        <f>3.5+B109</f>
        <v>3.3683266490440538</v>
      </c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</row>
    <row r="109" spans="1:77" ht="12">
      <c r="A109" s="6" t="s">
        <v>213</v>
      </c>
      <c r="B109" s="113">
        <f>1.04*(7.4-$B$18)+0.005*$B$62</f>
        <v>-0.13167335095594607</v>
      </c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</row>
    <row r="110" spans="1:77" ht="12">
      <c r="A110" s="6" t="s">
        <v>214</v>
      </c>
      <c r="B110" s="113">
        <f>0.055*($B$117-37)</f>
        <v>0</v>
      </c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</row>
    <row r="111" spans="1:77" ht="12">
      <c r="A111" s="6" t="s">
        <v>11</v>
      </c>
      <c r="B111" s="113">
        <f>1.946+B109+B110</f>
        <v>1.814326649044054</v>
      </c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</row>
    <row r="112" spans="1:77" ht="12">
      <c r="A112" s="6" t="s">
        <v>204</v>
      </c>
      <c r="B112" s="113">
        <f>LN($B$81)</f>
        <v>2.2407096892759584</v>
      </c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</row>
    <row r="113" spans="1:77" ht="12">
      <c r="A113" s="6" t="s">
        <v>215</v>
      </c>
      <c r="B113" s="113">
        <f>$B$97+B112-$B$98+B108*TANH(($B$101*(B112-$B$98)))</f>
        <v>3.055737798365154</v>
      </c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</row>
    <row r="114" spans="1:77" ht="12">
      <c r="A114" s="6" t="s">
        <v>205</v>
      </c>
      <c r="B114" s="113">
        <f>100/(2.718281828^-B113+1)</f>
        <v>95.50295982239321</v>
      </c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</row>
    <row r="115" spans="1:77" ht="12">
      <c r="A115" s="6" t="s">
        <v>141</v>
      </c>
      <c r="B115" s="101">
        <f>B91+49.7-0.33*B95</f>
        <v>49.495413899542875</v>
      </c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</row>
    <row r="116" spans="1:77" ht="12">
      <c r="A116" s="6" t="s">
        <v>22</v>
      </c>
      <c r="B116" s="11">
        <f>IF(B72="Arterial",IF('Enter Values'!B19="",IF('Enter Values'!B20="",0,1),1),0)</f>
        <v>1</v>
      </c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</row>
    <row r="117" spans="1:77" ht="12">
      <c r="A117" s="6" t="s">
        <v>229</v>
      </c>
      <c r="B117" s="10">
        <f>IF('Enter Values'!B19="",IF('Enter Values'!B20="",37,('Enter Values'!B20-32)*5/9),'Enter Values'!B19)</f>
        <v>37</v>
      </c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</row>
    <row r="118" spans="1:77" s="117" customFormat="1" ht="12">
      <c r="A118" s="6" t="s">
        <v>232</v>
      </c>
      <c r="B118" s="10">
        <f>IF('Enter Values'!$B$29="",120,'Enter Values'!$B$29)</f>
        <v>98</v>
      </c>
      <c r="C118" s="91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</row>
    <row r="119" spans="1:77" ht="12">
      <c r="A119" s="6" t="s">
        <v>38</v>
      </c>
      <c r="B119" s="110">
        <f>0.23-0.014*0.23*(B117-37)</f>
        <v>0.23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</row>
    <row r="120" spans="1:77" ht="12">
      <c r="A120" s="6" t="s">
        <v>4</v>
      </c>
      <c r="B120" s="101">
        <f>B91*100/B115</f>
        <v>9.908674898633556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</row>
    <row r="121" spans="1:77" ht="12">
      <c r="A121" s="115" t="s">
        <v>217</v>
      </c>
      <c r="B121" s="116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</row>
    <row r="122" spans="1:77" ht="12">
      <c r="A122" s="107" t="s">
        <v>91</v>
      </c>
      <c r="B122" s="101">
        <f>IF($B$72="Arterial",1.36*$B$118*B139/100+B119*$B$80,"")</f>
        <v>134.8570513353253</v>
      </c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</row>
    <row r="123" spans="1:77" ht="12">
      <c r="A123" s="107" t="s">
        <v>92</v>
      </c>
      <c r="B123" s="101">
        <f>B89</f>
        <v>129.44834485128567</v>
      </c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</row>
    <row r="124" spans="1:77" ht="12">
      <c r="A124" s="107" t="s">
        <v>93</v>
      </c>
      <c r="B124" s="101">
        <f>B90</f>
        <v>79.74834485128567</v>
      </c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</row>
    <row r="125" spans="1:77" ht="12">
      <c r="A125" s="91" t="s">
        <v>139</v>
      </c>
      <c r="B125" s="10">
        <f>B122-B123</f>
        <v>5.408706484039641</v>
      </c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</row>
    <row r="126" spans="1:77" ht="12">
      <c r="A126" s="91" t="s">
        <v>140</v>
      </c>
      <c r="B126" s="10">
        <f>B122-B124</f>
        <v>55.108706484039644</v>
      </c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</row>
    <row r="127" spans="1:77" ht="12">
      <c r="A127" s="107" t="s">
        <v>137</v>
      </c>
      <c r="B127" s="107">
        <f>IF($B$72="Arterial",(B125/B126)*100)</f>
        <v>9.814613387098985</v>
      </c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</row>
    <row r="128" spans="1:77" ht="12">
      <c r="A128" s="107" t="s">
        <v>138</v>
      </c>
      <c r="B128" s="107">
        <f>B127+6.5</f>
        <v>16.314613387098987</v>
      </c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</row>
    <row r="129" spans="1:77" ht="12">
      <c r="A129" s="91" t="s">
        <v>199</v>
      </c>
      <c r="B129" s="113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</row>
    <row r="130" spans="1:77" ht="12">
      <c r="A130" s="91" t="s">
        <v>200</v>
      </c>
      <c r="B130" s="113">
        <v>1.875</v>
      </c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</row>
    <row r="131" spans="1:77" ht="12">
      <c r="A131" s="91" t="s">
        <v>10</v>
      </c>
      <c r="B131" s="113">
        <f>1.946+B135+B136</f>
        <v>1.7043266490440538</v>
      </c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</row>
    <row r="132" spans="1:77" ht="12">
      <c r="A132" s="91" t="s">
        <v>207</v>
      </c>
      <c r="B132" s="113">
        <f>2.87+B135*$B$101</f>
        <v>2.799646928584238</v>
      </c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</row>
    <row r="133" spans="1:77" ht="12">
      <c r="A133" s="91" t="s">
        <v>208</v>
      </c>
      <c r="B133" s="113">
        <f>3.5+B135</f>
        <v>3.3683266490440538</v>
      </c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</row>
    <row r="134" spans="1:77" ht="12">
      <c r="A134" s="91" t="s">
        <v>202</v>
      </c>
      <c r="B134" s="113">
        <v>0.5343</v>
      </c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</row>
    <row r="135" spans="1:77" ht="12">
      <c r="A135" s="91" t="s">
        <v>209</v>
      </c>
      <c r="B135" s="113">
        <f>1.04*(7.4-$B$18)+0.005*$B$62</f>
        <v>-0.13167335095594607</v>
      </c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</row>
    <row r="136" spans="1:77" ht="12">
      <c r="A136" s="91" t="s">
        <v>210</v>
      </c>
      <c r="B136" s="113">
        <f>0.055*(B149-37)</f>
        <v>-0.11</v>
      </c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</row>
    <row r="137" spans="1:77" ht="12">
      <c r="A137" s="91" t="s">
        <v>203</v>
      </c>
      <c r="B137" s="113">
        <f>LN($B$80)</f>
        <v>2.6433310368572025</v>
      </c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</row>
    <row r="138" spans="1:77" ht="12">
      <c r="A138" s="91" t="s">
        <v>211</v>
      </c>
      <c r="B138" s="113">
        <f>B130+B137-B131+B133*TANH((B134*(B137-B131)))</f>
        <v>4.375092271899459</v>
      </c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</row>
    <row r="139" spans="1:77" ht="12">
      <c r="A139" s="91" t="s">
        <v>206</v>
      </c>
      <c r="B139" s="113">
        <f>100/(2.718281828^-B138+1)</f>
        <v>98.75694819185709</v>
      </c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</row>
    <row r="140" spans="1:77" ht="12">
      <c r="A140" s="91" t="s">
        <v>212</v>
      </c>
      <c r="B140" s="113">
        <f>2.87+B143*$B134</f>
        <v>2.87</v>
      </c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</row>
    <row r="141" spans="1:77" ht="12">
      <c r="A141" s="91" t="s">
        <v>216</v>
      </c>
      <c r="B141" s="113">
        <f>3.5+B142</f>
        <v>3.3683266490440538</v>
      </c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</row>
    <row r="142" spans="1:77" ht="12">
      <c r="A142" s="91" t="s">
        <v>213</v>
      </c>
      <c r="B142" s="113">
        <f>1.04*(7.4-$B$18)+0.005*$B$62</f>
        <v>-0.13167335095594607</v>
      </c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</row>
    <row r="143" spans="1:77" ht="12">
      <c r="A143" s="91" t="s">
        <v>214</v>
      </c>
      <c r="B143" s="113">
        <f>0.055*($B$117-37)</f>
        <v>0</v>
      </c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</row>
    <row r="144" spans="1:77" ht="12">
      <c r="A144" s="6" t="s">
        <v>11</v>
      </c>
      <c r="B144" s="113">
        <f>1.946+B142+B143</f>
        <v>1.814326649044054</v>
      </c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</row>
    <row r="145" spans="1:77" ht="12">
      <c r="A145" s="91" t="s">
        <v>204</v>
      </c>
      <c r="B145" s="113">
        <f>LN($B$81)</f>
        <v>2.2407096892759584</v>
      </c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</row>
    <row r="146" spans="1:77" ht="12">
      <c r="A146" s="91" t="s">
        <v>215</v>
      </c>
      <c r="B146" s="113">
        <f>B97+B145-B98+B141*TANH((B101*(B145-B98)))</f>
        <v>3.055737798365154</v>
      </c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</row>
    <row r="147" spans="1:77" ht="12">
      <c r="A147" s="91" t="s">
        <v>205</v>
      </c>
      <c r="B147" s="113">
        <f>100/(2.718281828^-B146+1)</f>
        <v>95.50295982239321</v>
      </c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</row>
    <row r="148" spans="1:77" ht="12">
      <c r="A148" s="91" t="s">
        <v>141</v>
      </c>
      <c r="B148" s="101">
        <f>B125+49.7-0.33*B128</f>
        <v>49.72488406629698</v>
      </c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</row>
    <row r="149" spans="1:77" s="117" customFormat="1" ht="12">
      <c r="A149" s="91" t="s">
        <v>224</v>
      </c>
      <c r="B149" s="10">
        <v>35</v>
      </c>
      <c r="C149" s="91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</row>
    <row r="150" spans="1:77" ht="12">
      <c r="A150" s="91" t="s">
        <v>232</v>
      </c>
      <c r="B150" s="10">
        <f>IF('Enter Values'!$B$29="",120,'Enter Values'!$B$29)</f>
        <v>98</v>
      </c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</row>
    <row r="151" spans="1:77" ht="12">
      <c r="A151" s="91" t="s">
        <v>38</v>
      </c>
      <c r="B151" s="110">
        <f>0.23-0.014*0.23*(B149-37)</f>
        <v>0.23644</v>
      </c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</row>
    <row r="152" spans="1:77" ht="12">
      <c r="A152" s="91" t="s">
        <v>4</v>
      </c>
      <c r="B152" s="101">
        <f>B125*100/B148</f>
        <v>10.877263136156023</v>
      </c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</row>
    <row r="153" spans="1:77" ht="12">
      <c r="A153" s="6" t="s">
        <v>96</v>
      </c>
      <c r="C153" s="122">
        <f>100*B125/(B122-C90)</f>
        <v>15.36845779113555</v>
      </c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</row>
    <row r="154" spans="1:77" ht="12">
      <c r="A154" s="115" t="s">
        <v>218</v>
      </c>
      <c r="B154" s="116"/>
      <c r="C154" s="122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</row>
    <row r="155" spans="1:77" ht="12">
      <c r="A155" s="107" t="s">
        <v>91</v>
      </c>
      <c r="B155" s="101">
        <f>IF($B$72="Arterial",1.36*$B$118*B172/100+B184*$B$80,"")</f>
        <v>134.35268450432446</v>
      </c>
      <c r="C155" s="122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</row>
    <row r="156" spans="1:77" ht="12">
      <c r="A156" s="107" t="s">
        <v>92</v>
      </c>
      <c r="B156" s="101">
        <f>B89</f>
        <v>129.44834485128567</v>
      </c>
      <c r="C156" s="122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</row>
    <row r="157" spans="1:77" ht="12">
      <c r="A157" s="107" t="s">
        <v>93</v>
      </c>
      <c r="B157" s="101">
        <f>B156-49.7</f>
        <v>79.74834485128567</v>
      </c>
      <c r="C157" s="122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</row>
    <row r="158" spans="1:77" ht="12">
      <c r="A158" s="91" t="s">
        <v>139</v>
      </c>
      <c r="B158" s="10">
        <f>B155-B156</f>
        <v>4.9043396530387895</v>
      </c>
      <c r="C158" s="122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</row>
    <row r="159" spans="1:77" ht="12">
      <c r="A159" s="91" t="s">
        <v>140</v>
      </c>
      <c r="B159" s="10">
        <f>B155-B157</f>
        <v>54.60433965303879</v>
      </c>
      <c r="C159" s="122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</row>
    <row r="160" spans="1:77" ht="12">
      <c r="A160" s="107" t="s">
        <v>137</v>
      </c>
      <c r="B160" s="107">
        <f>IF($B$72="Arterial",(B158/B159)*100)</f>
        <v>8.981593192411875</v>
      </c>
      <c r="C160" s="122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</row>
    <row r="161" spans="1:77" ht="12">
      <c r="A161" s="107" t="s">
        <v>138</v>
      </c>
      <c r="B161" s="107">
        <f>B160+6.5</f>
        <v>15.481593192411875</v>
      </c>
      <c r="C161" s="122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</row>
    <row r="162" spans="1:77" ht="12">
      <c r="A162" s="91" t="s">
        <v>199</v>
      </c>
      <c r="B162" s="113"/>
      <c r="C162" s="12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</row>
    <row r="163" spans="1:77" ht="12">
      <c r="A163" s="91" t="s">
        <v>200</v>
      </c>
      <c r="B163" s="113">
        <v>1.875</v>
      </c>
      <c r="C163" s="122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</row>
    <row r="164" spans="1:77" ht="12">
      <c r="A164" s="91" t="s">
        <v>10</v>
      </c>
      <c r="B164" s="113">
        <f>1.946+B168+B169</f>
        <v>1.814326649044054</v>
      </c>
      <c r="C164" s="122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</row>
    <row r="165" spans="1:77" ht="12">
      <c r="A165" s="91" t="s">
        <v>207</v>
      </c>
      <c r="B165" s="113">
        <f>2.87+B168*$B$101</f>
        <v>2.799646928584238</v>
      </c>
      <c r="C165" s="122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</row>
    <row r="166" spans="1:77" ht="12">
      <c r="A166" s="91" t="s">
        <v>208</v>
      </c>
      <c r="B166" s="113">
        <f>3.5+B168</f>
        <v>3.3683266490440538</v>
      </c>
      <c r="C166" s="122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</row>
    <row r="167" spans="1:77" ht="12">
      <c r="A167" s="91" t="s">
        <v>202</v>
      </c>
      <c r="B167" s="113">
        <v>0.5343</v>
      </c>
      <c r="C167" s="122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</row>
    <row r="168" spans="1:77" ht="12">
      <c r="A168" s="91" t="s">
        <v>209</v>
      </c>
      <c r="B168" s="113">
        <f>1.04*(7.4-$B$18)+0.005*$B$62</f>
        <v>-0.13167335095594607</v>
      </c>
      <c r="C168" s="122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</row>
    <row r="169" spans="1:77" ht="12">
      <c r="A169" s="91" t="s">
        <v>210</v>
      </c>
      <c r="B169" s="113">
        <f>0.055*(B182-37)</f>
        <v>0</v>
      </c>
      <c r="C169" s="122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</row>
    <row r="170" spans="1:77" ht="12">
      <c r="A170" s="91" t="s">
        <v>203</v>
      </c>
      <c r="B170" s="113">
        <f>LN($B$80)</f>
        <v>2.6433310368572025</v>
      </c>
      <c r="C170" s="122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</row>
    <row r="171" spans="1:77" ht="12">
      <c r="A171" s="91" t="s">
        <v>211</v>
      </c>
      <c r="B171" s="113">
        <f>B163+B170-B164+B166*TANH((B167*(B170-B164)))</f>
        <v>4.105484240265977</v>
      </c>
      <c r="C171" s="122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</row>
    <row r="172" spans="1:77" ht="12">
      <c r="A172" s="91" t="s">
        <v>206</v>
      </c>
      <c r="B172" s="113">
        <f>100/(2.718281828^-B171+1)</f>
        <v>98.37852169800894</v>
      </c>
      <c r="C172" s="12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</row>
    <row r="173" spans="1:77" ht="12">
      <c r="A173" s="91" t="s">
        <v>212</v>
      </c>
      <c r="B173" s="113">
        <f>2.87+B176*$B167</f>
        <v>2.87</v>
      </c>
      <c r="C173" s="122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</row>
    <row r="174" spans="1:77" ht="12">
      <c r="A174" s="91" t="s">
        <v>216</v>
      </c>
      <c r="B174" s="113">
        <f>3.5+B175</f>
        <v>3.3683266490440538</v>
      </c>
      <c r="C174" s="122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</row>
    <row r="175" spans="1:77" ht="12">
      <c r="A175" s="91" t="s">
        <v>213</v>
      </c>
      <c r="B175" s="113">
        <f>1.04*(7.4-$B$18)+0.005*$B$62</f>
        <v>-0.13167335095594607</v>
      </c>
      <c r="C175" s="122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</row>
    <row r="176" spans="1:77" ht="12">
      <c r="A176" s="91" t="s">
        <v>214</v>
      </c>
      <c r="B176" s="113">
        <f>0.055*($B$117-37)</f>
        <v>0</v>
      </c>
      <c r="C176" s="122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</row>
    <row r="177" spans="1:77" ht="12">
      <c r="A177" s="6" t="s">
        <v>11</v>
      </c>
      <c r="B177" s="113">
        <f>1.946+B175+B176</f>
        <v>1.814326649044054</v>
      </c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</row>
    <row r="178" spans="1:77" ht="12">
      <c r="A178" s="91" t="s">
        <v>204</v>
      </c>
      <c r="B178" s="113">
        <f>LN($B$81)</f>
        <v>2.2407096892759584</v>
      </c>
      <c r="C178" s="122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</row>
    <row r="179" spans="1:77" ht="12">
      <c r="A179" s="91" t="s">
        <v>215</v>
      </c>
      <c r="B179" s="113">
        <f>1.875+B178-B177+B174*TANH(0.534*(B178-B177))</f>
        <v>3.055328537609053</v>
      </c>
      <c r="C179" s="122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</row>
    <row r="180" spans="1:77" s="117" customFormat="1" ht="12">
      <c r="A180" s="91" t="s">
        <v>205</v>
      </c>
      <c r="B180" s="113">
        <f>100/(2.718281828^-B179+1)</f>
        <v>95.50120179928398</v>
      </c>
      <c r="C180" s="122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</row>
    <row r="181" spans="1:77" ht="12">
      <c r="A181" s="91" t="s">
        <v>141</v>
      </c>
      <c r="B181" s="101">
        <f>B158+49.7-0.33*B161</f>
        <v>49.495413899542875</v>
      </c>
      <c r="C181" s="122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</row>
    <row r="182" spans="1:77" ht="12">
      <c r="A182" s="91" t="s">
        <v>223</v>
      </c>
      <c r="B182" s="10">
        <v>37</v>
      </c>
      <c r="C182" s="12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</row>
    <row r="183" spans="1:77" ht="12">
      <c r="A183" s="91" t="s">
        <v>232</v>
      </c>
      <c r="B183" s="10">
        <f>IF('Enter Values'!$B$29="",120,'Enter Values'!$B$29)</f>
        <v>98</v>
      </c>
      <c r="C183" s="122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</row>
    <row r="184" spans="1:77" ht="12">
      <c r="A184" s="91" t="s">
        <v>38</v>
      </c>
      <c r="B184" s="110">
        <f>0.23-0.014*0.23*(B182-37)</f>
        <v>0.23</v>
      </c>
      <c r="C184" s="122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</row>
    <row r="185" spans="1:77" ht="12">
      <c r="A185" s="91" t="s">
        <v>4</v>
      </c>
      <c r="B185" s="101">
        <f>B158*100/B181</f>
        <v>9.908674898633556</v>
      </c>
      <c r="C185" s="122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</row>
    <row r="186" spans="1:77" ht="12">
      <c r="A186" s="6" t="s">
        <v>97</v>
      </c>
      <c r="C186" s="122">
        <f>100*B158/(B155-C90)</f>
        <v>14.137949200666045</v>
      </c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</row>
    <row r="187" spans="1:77" ht="12">
      <c r="A187" s="115" t="s">
        <v>219</v>
      </c>
      <c r="B187" s="116"/>
      <c r="C187" s="122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</row>
    <row r="188" spans="1:77" ht="12">
      <c r="A188" s="107" t="s">
        <v>91</v>
      </c>
      <c r="B188" s="101">
        <f>IF($B$72="Arterial",1.36*$B$118*B205/100+B217*$B$80,"")</f>
        <v>133.58539667650246</v>
      </c>
      <c r="C188" s="122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</row>
    <row r="189" spans="1:77" ht="12">
      <c r="A189" s="107" t="s">
        <v>92</v>
      </c>
      <c r="B189" s="101">
        <f>B89</f>
        <v>129.44834485128567</v>
      </c>
      <c r="C189" s="122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</row>
    <row r="190" spans="1:77" ht="12">
      <c r="A190" s="107" t="s">
        <v>93</v>
      </c>
      <c r="B190" s="101">
        <f>B189-49.7</f>
        <v>79.74834485128567</v>
      </c>
      <c r="C190" s="122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</row>
    <row r="191" spans="1:77" ht="12">
      <c r="A191" s="91" t="s">
        <v>139</v>
      </c>
      <c r="B191" s="10">
        <f>B188-B189</f>
        <v>4.137051825216787</v>
      </c>
      <c r="C191" s="122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</row>
    <row r="192" spans="1:77" ht="12">
      <c r="A192" s="91" t="s">
        <v>140</v>
      </c>
      <c r="B192" s="10">
        <f>B188-B190</f>
        <v>53.83705182521679</v>
      </c>
      <c r="C192" s="12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</row>
    <row r="193" spans="1:77" ht="12">
      <c r="A193" s="107" t="s">
        <v>137</v>
      </c>
      <c r="B193" s="107">
        <f>IF($B$72="Arterial",(B191/B192)*100)</f>
        <v>7.684395198027967</v>
      </c>
      <c r="C193" s="122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</row>
    <row r="194" spans="1:77" ht="12">
      <c r="A194" s="107" t="s">
        <v>138</v>
      </c>
      <c r="B194" s="107">
        <f>B193+6.5</f>
        <v>14.184395198027968</v>
      </c>
      <c r="C194" s="122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</row>
    <row r="195" spans="1:77" ht="12">
      <c r="A195" s="91" t="s">
        <v>199</v>
      </c>
      <c r="B195" s="114"/>
      <c r="C195" s="122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</row>
    <row r="196" spans="1:77" ht="12">
      <c r="A196" s="91" t="s">
        <v>200</v>
      </c>
      <c r="B196" s="113">
        <v>1.875</v>
      </c>
      <c r="C196" s="122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</row>
    <row r="197" spans="1:77" ht="12">
      <c r="A197" s="91" t="s">
        <v>201</v>
      </c>
      <c r="B197" s="113">
        <f>1.946+B201+B202</f>
        <v>1.924326649044054</v>
      </c>
      <c r="C197" s="122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</row>
    <row r="198" spans="1:77" ht="12">
      <c r="A198" s="91" t="s">
        <v>207</v>
      </c>
      <c r="B198" s="113">
        <f>2.87+B201*$B$101</f>
        <v>2.799646928584238</v>
      </c>
      <c r="C198" s="122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</row>
    <row r="199" spans="1:77" ht="12">
      <c r="A199" s="91" t="s">
        <v>208</v>
      </c>
      <c r="B199" s="113">
        <f>3.5+B201</f>
        <v>3.3683266490440538</v>
      </c>
      <c r="C199" s="122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</row>
    <row r="200" spans="1:77" ht="12">
      <c r="A200" s="91" t="s">
        <v>202</v>
      </c>
      <c r="B200" s="113">
        <v>0.5343</v>
      </c>
      <c r="C200" s="122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</row>
    <row r="201" spans="1:77" ht="12">
      <c r="A201" s="91" t="s">
        <v>209</v>
      </c>
      <c r="B201" s="113">
        <f>1.04*(7.4-$B$18)+0.005*$B$62</f>
        <v>-0.13167335095594607</v>
      </c>
      <c r="C201" s="122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</row>
    <row r="202" spans="1:77" ht="12">
      <c r="A202" s="91" t="s">
        <v>210</v>
      </c>
      <c r="B202" s="113">
        <f>0.055*(B215-37)</f>
        <v>0.11</v>
      </c>
      <c r="C202" s="12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</row>
    <row r="203" spans="1:77" ht="12">
      <c r="A203" s="91" t="s">
        <v>203</v>
      </c>
      <c r="B203" s="113">
        <f>LN($B$80)</f>
        <v>2.6433310368572025</v>
      </c>
      <c r="C203" s="122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</row>
    <row r="204" spans="1:77" ht="12">
      <c r="A204" s="91" t="s">
        <v>211</v>
      </c>
      <c r="B204" s="113">
        <f>B196+B203-B197+B199*TANH((B200*(B203-B197)))</f>
        <v>3.8278838429578004</v>
      </c>
      <c r="C204" s="122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</row>
    <row r="205" spans="1:77" ht="12">
      <c r="A205" s="91" t="s">
        <v>206</v>
      </c>
      <c r="B205" s="113">
        <f>100/(2.718281828^-B204+1)</f>
        <v>97.87076232988474</v>
      </c>
      <c r="C205" s="122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</row>
    <row r="206" spans="1:77" ht="12">
      <c r="A206" s="91" t="s">
        <v>212</v>
      </c>
      <c r="B206" s="113">
        <f>2.87+B209*$B200</f>
        <v>2.87</v>
      </c>
      <c r="C206" s="122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</row>
    <row r="207" spans="1:77" ht="12">
      <c r="A207" s="91" t="s">
        <v>216</v>
      </c>
      <c r="B207" s="113">
        <f>3.5+B208</f>
        <v>3.3683266490440538</v>
      </c>
      <c r="C207" s="122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</row>
    <row r="208" spans="1:77" ht="12">
      <c r="A208" s="91" t="s">
        <v>213</v>
      </c>
      <c r="B208" s="113">
        <f>1.04*(7.4-$B$18)+0.005*$B$62</f>
        <v>-0.13167335095594607</v>
      </c>
      <c r="C208" s="122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</row>
    <row r="209" spans="1:77" ht="12">
      <c r="A209" s="91" t="s">
        <v>214</v>
      </c>
      <c r="B209" s="113">
        <f>0.055*($B$117-37)</f>
        <v>0</v>
      </c>
      <c r="C209" s="122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</row>
    <row r="210" spans="1:77" ht="12">
      <c r="A210" s="6" t="s">
        <v>11</v>
      </c>
      <c r="B210" s="113">
        <f>1.946+B208+B209</f>
        <v>1.814326649044054</v>
      </c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</row>
    <row r="211" spans="1:77" s="117" customFormat="1" ht="12">
      <c r="A211" s="91" t="s">
        <v>204</v>
      </c>
      <c r="B211" s="113">
        <f>LN($B$81)</f>
        <v>2.2407096892759584</v>
      </c>
      <c r="C211" s="122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</row>
    <row r="212" spans="1:77" ht="12">
      <c r="A212" s="91" t="s">
        <v>215</v>
      </c>
      <c r="B212" s="113">
        <f>B163+B211-B164+B207*TANH((B167*(B211-B164)))</f>
        <v>3.055737798365154</v>
      </c>
      <c r="C212" s="12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</row>
    <row r="213" spans="1:77" ht="12">
      <c r="A213" s="91" t="s">
        <v>205</v>
      </c>
      <c r="B213" s="113">
        <f>100/(2.718281828^-B212+1)</f>
        <v>95.50295982239321</v>
      </c>
      <c r="C213" s="122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</row>
    <row r="214" spans="1:77" ht="12">
      <c r="A214" s="91" t="s">
        <v>141</v>
      </c>
      <c r="B214" s="101">
        <f>B191+49.7-0.33*B194</f>
        <v>49.15620140986756</v>
      </c>
      <c r="C214" s="122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</row>
    <row r="215" spans="1:77" ht="12">
      <c r="A215" s="91" t="s">
        <v>222</v>
      </c>
      <c r="B215" s="101">
        <v>39</v>
      </c>
      <c r="C215" s="122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</row>
    <row r="216" spans="1:77" ht="12">
      <c r="A216" s="91" t="s">
        <v>232</v>
      </c>
      <c r="B216" s="10">
        <f>IF('Enter Values'!$B$29="",120,'Enter Values'!$B$29)</f>
        <v>98</v>
      </c>
      <c r="C216" s="122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</row>
    <row r="217" spans="1:77" ht="12">
      <c r="A217" s="91" t="s">
        <v>38</v>
      </c>
      <c r="B217" s="110">
        <f>0.23-0.014*0.23*(B215-37)</f>
        <v>0.22356</v>
      </c>
      <c r="C217" s="122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</row>
    <row r="218" spans="1:77" ht="12">
      <c r="A218" s="91" t="s">
        <v>4</v>
      </c>
      <c r="B218" s="101">
        <f>B191*100/B214</f>
        <v>8.416134092058464</v>
      </c>
      <c r="C218" s="122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</row>
    <row r="219" spans="1:77" ht="12">
      <c r="A219" s="6" t="s">
        <v>9</v>
      </c>
      <c r="C219" s="122">
        <f>100*B191/(B188-C90)</f>
        <v>12.195814242825497</v>
      </c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</row>
    <row r="220" spans="1:77" ht="12">
      <c r="A220" s="115" t="s">
        <v>220</v>
      </c>
      <c r="B220" s="116"/>
      <c r="C220" s="122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</row>
    <row r="221" spans="1:77" ht="12">
      <c r="A221" s="107" t="s">
        <v>91</v>
      </c>
      <c r="B221" s="101">
        <f>IF($B$72="Arterial",1.36*$B$118*B238/100+B250*$B$80,"")</f>
        <v>132.58546695123192</v>
      </c>
      <c r="C221" s="122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</row>
    <row r="222" spans="1:77" ht="12">
      <c r="A222" s="107" t="s">
        <v>92</v>
      </c>
      <c r="B222" s="101">
        <f>B89</f>
        <v>129.44834485128567</v>
      </c>
      <c r="C222" s="1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</row>
    <row r="223" spans="1:77" ht="12">
      <c r="A223" s="107" t="s">
        <v>93</v>
      </c>
      <c r="B223" s="101">
        <f>B222-49.7</f>
        <v>79.74834485128567</v>
      </c>
      <c r="C223" s="122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</row>
    <row r="224" spans="1:77" ht="12">
      <c r="A224" s="91" t="s">
        <v>139</v>
      </c>
      <c r="B224" s="10">
        <f>B221-B222</f>
        <v>3.1371220999462537</v>
      </c>
      <c r="C224" s="122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</row>
    <row r="225" spans="1:77" ht="12">
      <c r="A225" s="91" t="s">
        <v>140</v>
      </c>
      <c r="B225" s="10">
        <f>B221-B223</f>
        <v>52.83712209994626</v>
      </c>
      <c r="C225" s="122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</row>
    <row r="226" spans="1:77" ht="12">
      <c r="A226" s="107" t="s">
        <v>137</v>
      </c>
      <c r="B226" s="107">
        <f>IF($B$72="Arterial",(B224/B225)*100)</f>
        <v>5.937344759262436</v>
      </c>
      <c r="C226" s="122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</row>
    <row r="227" spans="1:77" ht="12">
      <c r="A227" s="107" t="s">
        <v>138</v>
      </c>
      <c r="B227" s="107">
        <f>B226+6.5</f>
        <v>12.437344759262437</v>
      </c>
      <c r="C227" s="122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</row>
    <row r="228" spans="1:77" ht="12">
      <c r="A228" s="91" t="s">
        <v>199</v>
      </c>
      <c r="B228" s="114"/>
      <c r="C228" s="122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</row>
    <row r="229" spans="1:77" ht="12">
      <c r="A229" s="91" t="s">
        <v>200</v>
      </c>
      <c r="B229" s="113">
        <v>1.875</v>
      </c>
      <c r="C229" s="122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</row>
    <row r="230" spans="1:77" ht="12">
      <c r="A230" s="91" t="s">
        <v>201</v>
      </c>
      <c r="B230" s="113">
        <f>1.946+B234+B235</f>
        <v>2.034326649044054</v>
      </c>
      <c r="C230" s="122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</row>
    <row r="231" spans="1:77" ht="12">
      <c r="A231" s="91" t="s">
        <v>207</v>
      </c>
      <c r="B231" s="113">
        <f>2.87+B234*$B$101</f>
        <v>2.799646928584238</v>
      </c>
      <c r="C231" s="122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</row>
    <row r="232" spans="1:77" ht="12">
      <c r="A232" s="91" t="s">
        <v>208</v>
      </c>
      <c r="B232" s="113">
        <f>3.5+B234</f>
        <v>3.3683266490440538</v>
      </c>
      <c r="C232" s="12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</row>
    <row r="233" spans="1:77" ht="12">
      <c r="A233" s="91" t="s">
        <v>202</v>
      </c>
      <c r="B233" s="113">
        <v>0.5343</v>
      </c>
      <c r="C233" s="122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</row>
    <row r="234" spans="1:77" ht="12">
      <c r="A234" s="91" t="s">
        <v>209</v>
      </c>
      <c r="B234" s="113">
        <f>1.04*(7.4-$B$18)+0.005*$B$62</f>
        <v>-0.13167335095594607</v>
      </c>
      <c r="C234" s="122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</row>
    <row r="235" spans="1:77" ht="12">
      <c r="A235" s="91" t="s">
        <v>210</v>
      </c>
      <c r="B235" s="113">
        <f>0.055*(B248-37)</f>
        <v>0.22</v>
      </c>
      <c r="C235" s="122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</row>
    <row r="236" spans="1:77" ht="12">
      <c r="A236" s="91" t="s">
        <v>203</v>
      </c>
      <c r="B236" s="113">
        <f>LN($B$80)</f>
        <v>2.6433310368572025</v>
      </c>
      <c r="C236" s="122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</row>
    <row r="237" spans="1:77" ht="12">
      <c r="A237" s="91" t="s">
        <v>211</v>
      </c>
      <c r="B237" s="113">
        <f>B229+B236-B230+B232*TANH(B233*(B236-B230))</f>
        <v>3.542916573943412</v>
      </c>
      <c r="C237" s="122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</row>
    <row r="238" spans="1:77" ht="12">
      <c r="A238" s="91" t="s">
        <v>206</v>
      </c>
      <c r="B238" s="113">
        <f>100/(2.718281828^-B237+1)</f>
        <v>97.18845171817675</v>
      </c>
      <c r="C238" s="122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</row>
    <row r="239" spans="1:77" ht="12">
      <c r="A239" s="91" t="s">
        <v>212</v>
      </c>
      <c r="B239" s="113">
        <f>2.87+B242*$B233</f>
        <v>2.87</v>
      </c>
      <c r="C239" s="122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</row>
    <row r="240" spans="1:77" ht="12">
      <c r="A240" s="91" t="s">
        <v>216</v>
      </c>
      <c r="B240" s="113">
        <f>3.5+B241</f>
        <v>3.3683266490440538</v>
      </c>
      <c r="C240" s="122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</row>
    <row r="241" spans="1:77" ht="12">
      <c r="A241" s="91" t="s">
        <v>213</v>
      </c>
      <c r="B241" s="113">
        <f>1.04*(7.4-$B$18)+0.005*$B$62</f>
        <v>-0.13167335095594607</v>
      </c>
      <c r="C241" s="122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</row>
    <row r="242" spans="1:77" ht="12">
      <c r="A242" s="91" t="s">
        <v>214</v>
      </c>
      <c r="B242" s="113">
        <f>0.055*($B$117-37)</f>
        <v>0</v>
      </c>
      <c r="C242" s="12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</row>
    <row r="243" spans="1:77" ht="12">
      <c r="A243" s="6" t="s">
        <v>11</v>
      </c>
      <c r="B243" s="113">
        <f>1.946+B241+B242</f>
        <v>1.814326649044054</v>
      </c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</row>
    <row r="244" spans="1:5" ht="12">
      <c r="A244" s="91" t="s">
        <v>204</v>
      </c>
      <c r="B244" s="113">
        <f>LN($B$81)</f>
        <v>2.2407096892759584</v>
      </c>
      <c r="C244" s="122"/>
      <c r="D244"/>
      <c r="E244"/>
    </row>
    <row r="245" spans="1:4" ht="12">
      <c r="A245" s="91" t="s">
        <v>215</v>
      </c>
      <c r="B245" s="113">
        <f>B229+B244-B243+B240*TANH((0.5343*(B244-B243)))</f>
        <v>3.055737798365154</v>
      </c>
      <c r="C245" s="122"/>
      <c r="D245"/>
    </row>
    <row r="246" spans="1:3" ht="12">
      <c r="A246" s="91" t="s">
        <v>205</v>
      </c>
      <c r="B246" s="113">
        <f>100/(2.718281828^-B245+1)</f>
        <v>95.50295982239321</v>
      </c>
      <c r="C246" s="122"/>
    </row>
    <row r="247" spans="1:3" ht="12">
      <c r="A247" s="91" t="s">
        <v>141</v>
      </c>
      <c r="B247" s="101">
        <f>B224+49.7-0.33*B227</f>
        <v>48.73279832938965</v>
      </c>
      <c r="C247" s="122"/>
    </row>
    <row r="248" spans="1:3" ht="12">
      <c r="A248" s="91" t="s">
        <v>221</v>
      </c>
      <c r="B248" s="101">
        <v>41</v>
      </c>
      <c r="C248" s="122"/>
    </row>
    <row r="249" spans="1:3" ht="12">
      <c r="A249" s="91" t="s">
        <v>232</v>
      </c>
      <c r="B249" s="10">
        <f>IF('Enter Values'!$B$29="",120,'Enter Values'!$B$29)</f>
        <v>98</v>
      </c>
      <c r="C249" s="122"/>
    </row>
    <row r="250" spans="1:3" ht="12">
      <c r="A250" s="91" t="s">
        <v>38</v>
      </c>
      <c r="B250" s="110">
        <f>0.23-0.014*0.23*(B248-37)</f>
        <v>0.21712</v>
      </c>
      <c r="C250" s="122"/>
    </row>
    <row r="251" spans="1:3" ht="12">
      <c r="A251" s="91" t="s">
        <v>4</v>
      </c>
      <c r="B251" s="101">
        <f>B224*100/B247</f>
        <v>6.437393721456636</v>
      </c>
      <c r="C251" s="122"/>
    </row>
    <row r="252" spans="1:3" ht="12">
      <c r="A252" s="6" t="s">
        <v>21</v>
      </c>
      <c r="C252" s="122">
        <f>100*B224/(B221-C90)</f>
        <v>9.52896239590206</v>
      </c>
    </row>
    <row r="253" ht="12">
      <c r="A253" s="6" t="s">
        <v>80</v>
      </c>
    </row>
    <row r="254" spans="1:3" ht="12">
      <c r="A254" s="6" t="s">
        <v>225</v>
      </c>
      <c r="C254" s="101" t="str">
        <f>C72</f>
        <v>Central venous</v>
      </c>
    </row>
    <row r="255" spans="1:3" ht="12">
      <c r="A255" s="6" t="s">
        <v>200</v>
      </c>
      <c r="C255" s="91">
        <v>1.875</v>
      </c>
    </row>
    <row r="256" spans="1:3" ht="12">
      <c r="A256" s="6" t="s">
        <v>1</v>
      </c>
      <c r="C256" s="91">
        <f>1.946+C260+C261</f>
        <v>1.9599266490440537</v>
      </c>
    </row>
    <row r="257" spans="1:3" ht="12">
      <c r="A257" s="6" t="s">
        <v>81</v>
      </c>
      <c r="C257" s="91">
        <f>2.87+C260*C258</f>
        <v>2.918937223207784</v>
      </c>
    </row>
    <row r="258" spans="1:3" ht="12">
      <c r="A258" s="6" t="s">
        <v>82</v>
      </c>
      <c r="C258" s="91">
        <f>3.5+C260</f>
        <v>3.5139266490440537</v>
      </c>
    </row>
    <row r="259" spans="1:3" ht="12">
      <c r="A259" s="6" t="s">
        <v>202</v>
      </c>
      <c r="C259" s="91">
        <v>0.534</v>
      </c>
    </row>
    <row r="260" spans="1:3" ht="12">
      <c r="A260" s="6" t="s">
        <v>83</v>
      </c>
      <c r="C260" s="91">
        <f>1.04*(7.4-C18)+0.005*$B$62</f>
        <v>0.013926649044053614</v>
      </c>
    </row>
    <row r="261" spans="1:3" ht="12">
      <c r="A261" s="6" t="s">
        <v>84</v>
      </c>
      <c r="C261" s="91">
        <v>0</v>
      </c>
    </row>
    <row r="262" spans="1:3" ht="12">
      <c r="A262" s="6" t="s">
        <v>85</v>
      </c>
      <c r="C262" s="91">
        <f>LN(C81)</f>
        <v>1.667706820558076</v>
      </c>
    </row>
    <row r="263" spans="1:3" ht="12">
      <c r="A263" s="6" t="s">
        <v>86</v>
      </c>
      <c r="C263" s="91">
        <f>C255+C262-C256+C258*TANH(C259*(C262-C256))</f>
        <v>1.0388558543928434</v>
      </c>
    </row>
    <row r="264" spans="1:3" ht="12">
      <c r="A264" s="6" t="s">
        <v>0</v>
      </c>
      <c r="C264" s="91">
        <f>100/(2.718281828^-C263+1)</f>
        <v>73.86291820611358</v>
      </c>
    </row>
    <row r="265" spans="1:2" ht="12">
      <c r="A265" s="6" t="s">
        <v>19</v>
      </c>
      <c r="B265" s="10">
        <f>IF(B72="Arterial",IF(C72="Mixed venous",1,IF(C72="Central venous",1,0)),0)</f>
        <v>1</v>
      </c>
    </row>
    <row r="266" spans="1:2" ht="12">
      <c r="A266" s="6" t="s">
        <v>102</v>
      </c>
      <c r="B266" s="10">
        <f>IF(B265=1,C93,B120)</f>
        <v>14.137949200666045</v>
      </c>
    </row>
    <row r="267" spans="1:2" ht="12">
      <c r="A267" s="6" t="s">
        <v>103</v>
      </c>
      <c r="B267" s="10">
        <f>IF(B265=1,C153,B152)</f>
        <v>15.36845779113555</v>
      </c>
    </row>
    <row r="268" spans="1:2" ht="12">
      <c r="A268" s="6" t="s">
        <v>104</v>
      </c>
      <c r="B268" s="10">
        <f>IF(B265=1,C186,B185)</f>
        <v>14.137949200666045</v>
      </c>
    </row>
    <row r="269" spans="1:2" ht="12">
      <c r="A269" s="6" t="s">
        <v>105</v>
      </c>
      <c r="B269" s="10">
        <f>IF(B265=1,C219,B218)</f>
        <v>12.195814242825497</v>
      </c>
    </row>
    <row r="270" spans="1:2" ht="12">
      <c r="A270" s="6" t="s">
        <v>106</v>
      </c>
      <c r="B270" s="10">
        <f>IF(B265=1,C252,B251)</f>
        <v>9.52896239590206</v>
      </c>
    </row>
    <row r="271" spans="1:2" ht="12">
      <c r="A271" s="6" t="s">
        <v>79</v>
      </c>
      <c r="B271" s="10">
        <f>IF('Enter Values'!B19="",IF('Enter Values'!B20="",0,1),1)</f>
        <v>1</v>
      </c>
    </row>
  </sheetData>
  <sheetProtection password="CD47" sheet="1" objects="1" scenarios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Lloyd</dc:creator>
  <cp:keywords/>
  <dc:description/>
  <cp:lastModifiedBy>Salminen Jukka</cp:lastModifiedBy>
  <cp:lastPrinted>2009-10-23T07:49:07Z</cp:lastPrinted>
  <dcterms:created xsi:type="dcterms:W3CDTF">2002-03-24T07:13:42Z</dcterms:created>
  <dcterms:modified xsi:type="dcterms:W3CDTF">2019-04-12T06:50:32Z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